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ldx" ContentType="application/vnd.openxmlformats-officedocument.presentationml.slide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D:\CAU TO\CAUTO - GAF\ORÇAMENTO\2020\"/>
    </mc:Choice>
  </mc:AlternateContent>
  <bookViews>
    <workbookView xWindow="0" yWindow="0" windowWidth="20490" windowHeight="7155" tabRatio="884" firstSheet="15" activeTab="19"/>
  </bookViews>
  <sheets>
    <sheet name="Orientações Iniciais" sheetId="29" r:id="rId1"/>
    <sheet name="Mapa Estratégico e ODS" sheetId="17" r:id="rId2"/>
    <sheet name="Indicadores e Metas" sheetId="30" r:id="rId3"/>
    <sheet name="Quadro Geral" sheetId="15" r:id="rId4"/>
    <sheet name="Anexo_1.1_Limites Estratégicos" sheetId="23" r:id="rId5"/>
    <sheet name="Anexo_1.2_Usos e Fontes" sheetId="8" r:id="rId6"/>
    <sheet name="Anexo_1.3_ Elemento de Despesas" sheetId="18" r:id="rId7"/>
    <sheet name="Anexo 1.4-Presidência" sheetId="37" r:id="rId8"/>
    <sheet name="Anexo 1.4-CPAFi" sheetId="38" r:id="rId9"/>
    <sheet name="Anexo 1.4-CEDEP" sheetId="39" r:id="rId10"/>
    <sheet name="Anexo 1.4-CEF" sheetId="40" r:id="rId11"/>
    <sheet name="Anexo 1.4-CPPUA" sheetId="41" r:id="rId12"/>
    <sheet name="Anexo 1.4-Ger Tec Fisc" sheetId="34" r:id="rId13"/>
    <sheet name="Anexo 1.4-Ger Adm Finan" sheetId="28" r:id="rId14"/>
    <sheet name="Anexo 1.4-Atendimento" sheetId="42" r:id="rId15"/>
    <sheet name="Anexo 1.4-Comunicação" sheetId="43" r:id="rId16"/>
    <sheet name="Anexo 1.4-Capacitação" sheetId="44" r:id="rId17"/>
    <sheet name="Anexo 1.4-ATHIS" sheetId="45" r:id="rId18"/>
    <sheet name="Anexo 1.4-Fundo" sheetId="46" r:id="rId19"/>
    <sheet name="Anexo 1.4-CSC Fiscalização" sheetId="47" r:id="rId20"/>
    <sheet name="Anexo 1.4-CSC Atendimento" sheetId="48" r:id="rId21"/>
    <sheet name="Anexo 1.4-CSC Siscaf" sheetId="49" r:id="rId22"/>
    <sheet name="Anexo 1.4-Sede" sheetId="50" r:id="rId23"/>
    <sheet name="Anexo 1.4-Comissão Eleitoral" sheetId="51" r:id="rId24"/>
    <sheet name="Anexo 1.4-Reserva Contingência" sheetId="52" r:id="rId25"/>
    <sheet name="Resumo" sheetId="31" state="hidden" r:id="rId26"/>
    <sheet name="AÇÕES ESTRATÉGICAS - DESCRIÇÃO " sheetId="32" r:id="rId27"/>
    <sheet name="Plan1" sheetId="27" state="hidden" r:id="rId28"/>
  </sheets>
  <externalReferences>
    <externalReference r:id="rId29"/>
  </externalReferences>
  <definedNames>
    <definedName name="_xlnm._FilterDatabase" localSheetId="3" hidden="1">'Quadro Geral'!$A$9:$AH$30</definedName>
    <definedName name="A" localSheetId="14">#REF!</definedName>
    <definedName name="A" localSheetId="17">#REF!</definedName>
    <definedName name="A" localSheetId="16">#REF!</definedName>
    <definedName name="A" localSheetId="9">#REF!</definedName>
    <definedName name="A" localSheetId="10">#REF!</definedName>
    <definedName name="A" localSheetId="23">#REF!</definedName>
    <definedName name="A" localSheetId="15">#REF!</definedName>
    <definedName name="A" localSheetId="8">#REF!</definedName>
    <definedName name="A" localSheetId="11">#REF!</definedName>
    <definedName name="A" localSheetId="20">#REF!</definedName>
    <definedName name="A" localSheetId="19">#REF!</definedName>
    <definedName name="A" localSheetId="21">#REF!</definedName>
    <definedName name="A" localSheetId="18">#REF!</definedName>
    <definedName name="A" localSheetId="13">#REF!</definedName>
    <definedName name="A" localSheetId="12">#REF!</definedName>
    <definedName name="A" localSheetId="7">#REF!</definedName>
    <definedName name="A" localSheetId="24">#REF!</definedName>
    <definedName name="A" localSheetId="22">#REF!</definedName>
    <definedName name="A" localSheetId="0">#REF!</definedName>
    <definedName name="A" localSheetId="3">#REF!</definedName>
    <definedName name="A">#REF!</definedName>
    <definedName name="_xlnm.Print_Area" localSheetId="5">'Anexo_1.2_Usos e Fontes'!$A$1:$F$37</definedName>
    <definedName name="_xlnm.Print_Area" localSheetId="1">'Mapa Estratégico e ODS'!$A$1:$I$28</definedName>
    <definedName name="_xlnm.Print_Area" localSheetId="3">'Quadro Geral'!$A$1:$N$37</definedName>
    <definedName name="_xlnm.Database" localSheetId="14">#REF!</definedName>
    <definedName name="_xlnm.Database" localSheetId="17">#REF!</definedName>
    <definedName name="_xlnm.Database" localSheetId="16">#REF!</definedName>
    <definedName name="_xlnm.Database" localSheetId="9">#REF!</definedName>
    <definedName name="_xlnm.Database" localSheetId="10">#REF!</definedName>
    <definedName name="_xlnm.Database" localSheetId="23">#REF!</definedName>
    <definedName name="_xlnm.Database" localSheetId="15">#REF!</definedName>
    <definedName name="_xlnm.Database" localSheetId="8">#REF!</definedName>
    <definedName name="_xlnm.Database" localSheetId="11">#REF!</definedName>
    <definedName name="_xlnm.Database" localSheetId="20">#REF!</definedName>
    <definedName name="_xlnm.Database" localSheetId="19">#REF!</definedName>
    <definedName name="_xlnm.Database" localSheetId="21">#REF!</definedName>
    <definedName name="_xlnm.Database" localSheetId="18">#REF!</definedName>
    <definedName name="_xlnm.Database" localSheetId="13">#REF!</definedName>
    <definedName name="_xlnm.Database" localSheetId="12">#REF!</definedName>
    <definedName name="_xlnm.Database" localSheetId="7">#REF!</definedName>
    <definedName name="_xlnm.Database" localSheetId="24">#REF!</definedName>
    <definedName name="_xlnm.Database" localSheetId="22">#REF!</definedName>
    <definedName name="_xlnm.Database" localSheetId="0">#REF!</definedName>
    <definedName name="_xlnm.Database" localSheetId="3">#REF!</definedName>
    <definedName name="_xlnm.Database">#REF!</definedName>
    <definedName name="banco_de_dados_sym" localSheetId="14">#REF!</definedName>
    <definedName name="banco_de_dados_sym" localSheetId="17">#REF!</definedName>
    <definedName name="banco_de_dados_sym" localSheetId="16">#REF!</definedName>
    <definedName name="banco_de_dados_sym" localSheetId="9">#REF!</definedName>
    <definedName name="banco_de_dados_sym" localSheetId="10">#REF!</definedName>
    <definedName name="banco_de_dados_sym" localSheetId="23">#REF!</definedName>
    <definedName name="banco_de_dados_sym" localSheetId="15">#REF!</definedName>
    <definedName name="banco_de_dados_sym" localSheetId="8">#REF!</definedName>
    <definedName name="banco_de_dados_sym" localSheetId="11">#REF!</definedName>
    <definedName name="banco_de_dados_sym" localSheetId="20">#REF!</definedName>
    <definedName name="banco_de_dados_sym" localSheetId="19">#REF!</definedName>
    <definedName name="banco_de_dados_sym" localSheetId="21">#REF!</definedName>
    <definedName name="banco_de_dados_sym" localSheetId="18">#REF!</definedName>
    <definedName name="banco_de_dados_sym" localSheetId="12">#REF!</definedName>
    <definedName name="banco_de_dados_sym" localSheetId="7">#REF!</definedName>
    <definedName name="banco_de_dados_sym" localSheetId="24">#REF!</definedName>
    <definedName name="banco_de_dados_sym" localSheetId="22">#REF!</definedName>
    <definedName name="banco_de_dados_sym">#REF!</definedName>
    <definedName name="_xlnm.Criteria" localSheetId="14">#REF!</definedName>
    <definedName name="_xlnm.Criteria" localSheetId="17">#REF!</definedName>
    <definedName name="_xlnm.Criteria" localSheetId="16">#REF!</definedName>
    <definedName name="_xlnm.Criteria" localSheetId="9">#REF!</definedName>
    <definedName name="_xlnm.Criteria" localSheetId="10">#REF!</definedName>
    <definedName name="_xlnm.Criteria" localSheetId="23">#REF!</definedName>
    <definedName name="_xlnm.Criteria" localSheetId="15">#REF!</definedName>
    <definedName name="_xlnm.Criteria" localSheetId="8">#REF!</definedName>
    <definedName name="_xlnm.Criteria" localSheetId="11">#REF!</definedName>
    <definedName name="_xlnm.Criteria" localSheetId="20">#REF!</definedName>
    <definedName name="_xlnm.Criteria" localSheetId="19">#REF!</definedName>
    <definedName name="_xlnm.Criteria" localSheetId="21">#REF!</definedName>
    <definedName name="_xlnm.Criteria" localSheetId="18">#REF!</definedName>
    <definedName name="_xlnm.Criteria" localSheetId="12">#REF!</definedName>
    <definedName name="_xlnm.Criteria" localSheetId="7">#REF!</definedName>
    <definedName name="_xlnm.Criteria" localSheetId="24">#REF!</definedName>
    <definedName name="_xlnm.Criteria" localSheetId="22">#REF!</definedName>
    <definedName name="_xlnm.Criteria">#REF!</definedName>
    <definedName name="dados" localSheetId="14">#REF!</definedName>
    <definedName name="dados" localSheetId="17">#REF!</definedName>
    <definedName name="dados" localSheetId="16">#REF!</definedName>
    <definedName name="dados" localSheetId="9">#REF!</definedName>
    <definedName name="dados" localSheetId="10">#REF!</definedName>
    <definedName name="dados" localSheetId="23">#REF!</definedName>
    <definedName name="dados" localSheetId="15">#REF!</definedName>
    <definedName name="dados" localSheetId="8">#REF!</definedName>
    <definedName name="dados" localSheetId="11">#REF!</definedName>
    <definedName name="dados" localSheetId="20">#REF!</definedName>
    <definedName name="dados" localSheetId="19">#REF!</definedName>
    <definedName name="dados" localSheetId="21">#REF!</definedName>
    <definedName name="dados" localSheetId="18">#REF!</definedName>
    <definedName name="dados" localSheetId="12">#REF!</definedName>
    <definedName name="dados" localSheetId="7">#REF!</definedName>
    <definedName name="dados" localSheetId="24">#REF!</definedName>
    <definedName name="dados" localSheetId="22">#REF!</definedName>
    <definedName name="dados">#REF!</definedName>
    <definedName name="huala" localSheetId="14">#REF!</definedName>
    <definedName name="huala" localSheetId="17">#REF!</definedName>
    <definedName name="huala" localSheetId="16">#REF!</definedName>
    <definedName name="huala" localSheetId="9">#REF!</definedName>
    <definedName name="huala" localSheetId="10">#REF!</definedName>
    <definedName name="huala" localSheetId="23">#REF!</definedName>
    <definedName name="huala" localSheetId="15">#REF!</definedName>
    <definedName name="huala" localSheetId="8">#REF!</definedName>
    <definedName name="huala" localSheetId="11">#REF!</definedName>
    <definedName name="huala" localSheetId="20">#REF!</definedName>
    <definedName name="huala" localSheetId="19">#REF!</definedName>
    <definedName name="huala" localSheetId="21">#REF!</definedName>
    <definedName name="huala" localSheetId="18">#REF!</definedName>
    <definedName name="huala" localSheetId="12">#REF!</definedName>
    <definedName name="huala" localSheetId="7">#REF!</definedName>
    <definedName name="huala" localSheetId="24">#REF!</definedName>
    <definedName name="huala" localSheetId="22">#REF!</definedName>
    <definedName name="huala">#REF!</definedName>
    <definedName name="kk" localSheetId="14">#REF!</definedName>
    <definedName name="kk" localSheetId="17">#REF!</definedName>
    <definedName name="kk" localSheetId="16">#REF!</definedName>
    <definedName name="kk" localSheetId="9">#REF!</definedName>
    <definedName name="kk" localSheetId="10">#REF!</definedName>
    <definedName name="kk" localSheetId="23">#REF!</definedName>
    <definedName name="kk" localSheetId="15">#REF!</definedName>
    <definedName name="kk" localSheetId="8">#REF!</definedName>
    <definedName name="kk" localSheetId="11">#REF!</definedName>
    <definedName name="kk" localSheetId="20">#REF!</definedName>
    <definedName name="kk" localSheetId="19">#REF!</definedName>
    <definedName name="kk" localSheetId="21">#REF!</definedName>
    <definedName name="kk" localSheetId="18">#REF!</definedName>
    <definedName name="kk" localSheetId="12">#REF!</definedName>
    <definedName name="kk" localSheetId="7">#REF!</definedName>
    <definedName name="kk" localSheetId="24">#REF!</definedName>
    <definedName name="kk" localSheetId="22">#REF!</definedName>
    <definedName name="kk">#REF!</definedName>
  </definedNames>
  <calcPr calcId="152511"/>
</workbook>
</file>

<file path=xl/calcChain.xml><?xml version="1.0" encoding="utf-8"?>
<calcChain xmlns="http://schemas.openxmlformats.org/spreadsheetml/2006/main">
  <c r="I22" i="28" l="1"/>
  <c r="I21" i="42"/>
  <c r="I22" i="34"/>
  <c r="I25" i="37"/>
  <c r="I30" i="37"/>
  <c r="D14" i="8" l="1"/>
  <c r="D13" i="8" s="1"/>
  <c r="E18" i="8"/>
  <c r="E17" i="8"/>
  <c r="E16" i="8"/>
  <c r="E15" i="8"/>
  <c r="E14" i="8" l="1"/>
  <c r="C25" i="8" l="1"/>
  <c r="D25" i="8"/>
  <c r="C11" i="8"/>
  <c r="I22" i="37"/>
  <c r="I21" i="37"/>
  <c r="L15" i="18"/>
  <c r="G14" i="41" l="1"/>
  <c r="G13" i="41"/>
  <c r="D34" i="8"/>
  <c r="J34" i="8" s="1"/>
  <c r="I35" i="8"/>
  <c r="I34" i="8"/>
  <c r="I33" i="8"/>
  <c r="I31" i="8"/>
  <c r="P8" i="23" l="1"/>
  <c r="H26" i="23"/>
  <c r="H24" i="23"/>
  <c r="H18" i="23"/>
  <c r="H8" i="23"/>
  <c r="F68" i="30"/>
  <c r="F66" i="30"/>
  <c r="F17" i="30"/>
  <c r="G17" i="30"/>
  <c r="E68" i="30"/>
  <c r="E66" i="30"/>
  <c r="E62" i="30"/>
  <c r="E17" i="30"/>
  <c r="H32" i="50" l="1"/>
  <c r="Q16" i="50"/>
  <c r="Q14" i="50"/>
  <c r="Q13" i="50"/>
  <c r="Q12" i="50"/>
  <c r="H32" i="49"/>
  <c r="Q16" i="49"/>
  <c r="Q14" i="49"/>
  <c r="Q13" i="49"/>
  <c r="Q12" i="49"/>
  <c r="H32" i="48"/>
  <c r="Q16" i="48"/>
  <c r="Q14" i="48"/>
  <c r="Q13" i="48"/>
  <c r="Q12" i="48"/>
  <c r="H32" i="47"/>
  <c r="Q16" i="47"/>
  <c r="Q14" i="47"/>
  <c r="Q13" i="47"/>
  <c r="Q12" i="47"/>
  <c r="H32" i="46"/>
  <c r="Q16" i="46"/>
  <c r="Q14" i="46"/>
  <c r="Q13" i="46"/>
  <c r="Q12" i="46"/>
  <c r="H32" i="45"/>
  <c r="Q16" i="45"/>
  <c r="Q14" i="45"/>
  <c r="Q13" i="45"/>
  <c r="Q12" i="45"/>
  <c r="Q16" i="44"/>
  <c r="Q14" i="44"/>
  <c r="Q13" i="44"/>
  <c r="Q12" i="44"/>
  <c r="H32" i="43"/>
  <c r="Q16" i="43"/>
  <c r="Q14" i="43"/>
  <c r="Q13" i="43"/>
  <c r="Q12" i="43"/>
  <c r="Q16" i="42"/>
  <c r="Q14" i="42"/>
  <c r="Q13" i="42"/>
  <c r="Q12" i="42"/>
  <c r="H34" i="28"/>
  <c r="Q16" i="28"/>
  <c r="Q14" i="28"/>
  <c r="Q13" i="28"/>
  <c r="Q12" i="28"/>
  <c r="H32" i="34"/>
  <c r="Q16" i="34"/>
  <c r="Q14" i="34"/>
  <c r="Q13" i="34"/>
  <c r="Q12" i="34"/>
  <c r="Q16" i="41"/>
  <c r="R14" i="41"/>
  <c r="Q14" i="41"/>
  <c r="R13" i="41"/>
  <c r="Q13" i="41"/>
  <c r="Q12" i="41"/>
  <c r="Q16" i="40"/>
  <c r="Q14" i="40"/>
  <c r="Q13" i="40"/>
  <c r="Q12" i="40"/>
  <c r="H33" i="39"/>
  <c r="Q16" i="39"/>
  <c r="Q14" i="39"/>
  <c r="Q13" i="39"/>
  <c r="Q12" i="39"/>
  <c r="H33" i="38"/>
  <c r="Q16" i="38"/>
  <c r="Q14" i="38"/>
  <c r="Q13" i="38"/>
  <c r="Q12" i="38"/>
  <c r="Q16" i="37"/>
  <c r="Q14" i="37"/>
  <c r="Q13" i="37"/>
  <c r="Q12" i="37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14" i="23"/>
  <c r="R18" i="15"/>
  <c r="R19" i="15"/>
  <c r="R20" i="15"/>
  <c r="R21" i="15"/>
  <c r="R22" i="15"/>
  <c r="R23" i="15"/>
  <c r="R24" i="15"/>
  <c r="R25" i="15"/>
  <c r="R17" i="15"/>
  <c r="R16" i="15"/>
  <c r="R15" i="15"/>
  <c r="R14" i="15"/>
  <c r="R13" i="15"/>
  <c r="R12" i="15"/>
  <c r="R11" i="15"/>
  <c r="R10" i="15"/>
  <c r="O21" i="15"/>
  <c r="O22" i="15"/>
  <c r="O23" i="15"/>
  <c r="O24" i="15"/>
  <c r="O25" i="15"/>
  <c r="O20" i="15"/>
  <c r="O19" i="15"/>
  <c r="O18" i="15"/>
  <c r="O17" i="15"/>
  <c r="P16" i="15"/>
  <c r="O16" i="15"/>
  <c r="P15" i="15"/>
  <c r="O15" i="15"/>
  <c r="P14" i="15"/>
  <c r="O14" i="15"/>
  <c r="P13" i="15"/>
  <c r="O13" i="15"/>
  <c r="P12" i="15"/>
  <c r="O12" i="15"/>
  <c r="P11" i="15"/>
  <c r="P10" i="15"/>
  <c r="O11" i="15"/>
  <c r="O10" i="15"/>
  <c r="I25" i="28" l="1"/>
  <c r="I23" i="37"/>
  <c r="I22" i="39"/>
  <c r="N22" i="34"/>
  <c r="N22" i="28"/>
  <c r="N21" i="42"/>
  <c r="N25" i="37"/>
  <c r="N30" i="37" s="1"/>
  <c r="K10" i="15" s="1"/>
  <c r="O23" i="40"/>
  <c r="J23" i="40"/>
  <c r="K23" i="40" s="1"/>
  <c r="O23" i="39"/>
  <c r="J23" i="39"/>
  <c r="K23" i="39" s="1"/>
  <c r="O23" i="38"/>
  <c r="L23" i="38"/>
  <c r="K23" i="38"/>
  <c r="J23" i="38"/>
  <c r="L17" i="23"/>
  <c r="L14" i="23" l="1"/>
  <c r="N29" i="18"/>
  <c r="P29" i="18" s="1"/>
  <c r="R29" i="18" s="1"/>
  <c r="L28" i="18"/>
  <c r="Q27" i="18"/>
  <c r="M26" i="18"/>
  <c r="M25" i="18"/>
  <c r="M24" i="18"/>
  <c r="M23" i="18"/>
  <c r="L22" i="18"/>
  <c r="L21" i="18"/>
  <c r="K21" i="18"/>
  <c r="H21" i="18"/>
  <c r="L20" i="18"/>
  <c r="L19" i="18"/>
  <c r="G19" i="18"/>
  <c r="L18" i="18"/>
  <c r="Q18" i="18"/>
  <c r="I18" i="18"/>
  <c r="I12" i="18"/>
  <c r="I17" i="18"/>
  <c r="L17" i="18"/>
  <c r="G18" i="18"/>
  <c r="H17" i="18"/>
  <c r="G17" i="18"/>
  <c r="L16" i="18"/>
  <c r="K16" i="18"/>
  <c r="J16" i="18"/>
  <c r="K15" i="18"/>
  <c r="J15" i="18"/>
  <c r="K14" i="18"/>
  <c r="J14" i="18"/>
  <c r="K13" i="18"/>
  <c r="J13" i="18"/>
  <c r="D13" i="18"/>
  <c r="J12" i="18"/>
  <c r="K12" i="18"/>
  <c r="G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J22" i="37" l="1"/>
  <c r="K22" i="37" s="1"/>
  <c r="O22" i="37" l="1"/>
  <c r="N31" i="52" l="1"/>
  <c r="I31" i="52"/>
  <c r="H31" i="52"/>
  <c r="I27" i="15" s="1"/>
  <c r="C35" i="8" s="1"/>
  <c r="O30" i="52"/>
  <c r="J30" i="52"/>
  <c r="K30" i="52" s="1"/>
  <c r="O29" i="52"/>
  <c r="J29" i="52"/>
  <c r="K29" i="52" s="1"/>
  <c r="O28" i="52"/>
  <c r="J28" i="52"/>
  <c r="K28" i="52" s="1"/>
  <c r="O27" i="52"/>
  <c r="J27" i="52"/>
  <c r="K27" i="52" s="1"/>
  <c r="O26" i="52"/>
  <c r="J26" i="52"/>
  <c r="K26" i="52" s="1"/>
  <c r="O25" i="52"/>
  <c r="J25" i="52"/>
  <c r="K25" i="52" s="1"/>
  <c r="O24" i="52"/>
  <c r="J24" i="52"/>
  <c r="K24" i="52" s="1"/>
  <c r="O23" i="52"/>
  <c r="J23" i="52"/>
  <c r="K23" i="52" s="1"/>
  <c r="O22" i="52"/>
  <c r="J22" i="52"/>
  <c r="K22" i="52" s="1"/>
  <c r="O21" i="52"/>
  <c r="J21" i="52"/>
  <c r="K21" i="52" s="1"/>
  <c r="N31" i="51"/>
  <c r="L31" i="51"/>
  <c r="I31" i="51"/>
  <c r="H31" i="51"/>
  <c r="I26" i="15" s="1"/>
  <c r="O30" i="51"/>
  <c r="J30" i="51"/>
  <c r="K30" i="51" s="1"/>
  <c r="O29" i="51"/>
  <c r="J29" i="51"/>
  <c r="K29" i="51" s="1"/>
  <c r="O28" i="51"/>
  <c r="L28" i="51"/>
  <c r="J28" i="51"/>
  <c r="K28" i="51" s="1"/>
  <c r="O27" i="51"/>
  <c r="J27" i="51"/>
  <c r="K27" i="51" s="1"/>
  <c r="O26" i="51"/>
  <c r="J26" i="51"/>
  <c r="K26" i="51" s="1"/>
  <c r="O25" i="51"/>
  <c r="L25" i="51"/>
  <c r="J25" i="51"/>
  <c r="K25" i="51" s="1"/>
  <c r="O24" i="51"/>
  <c r="L24" i="51"/>
  <c r="J24" i="51"/>
  <c r="K24" i="51" s="1"/>
  <c r="O23" i="51"/>
  <c r="L23" i="51"/>
  <c r="J23" i="51"/>
  <c r="K23" i="51" s="1"/>
  <c r="O22" i="51"/>
  <c r="J22" i="51"/>
  <c r="K22" i="51" s="1"/>
  <c r="O21" i="51"/>
  <c r="L21" i="51"/>
  <c r="J21" i="51"/>
  <c r="K21" i="51" s="1"/>
  <c r="J31" i="52" l="1"/>
  <c r="K31" i="52" s="1"/>
  <c r="J27" i="15"/>
  <c r="E26" i="23" s="1"/>
  <c r="J31" i="51"/>
  <c r="K31" i="51" s="1"/>
  <c r="L29" i="51"/>
  <c r="O31" i="51"/>
  <c r="J26" i="15"/>
  <c r="L27" i="51"/>
  <c r="L22" i="51"/>
  <c r="L26" i="51"/>
  <c r="L30" i="51"/>
  <c r="L23" i="52"/>
  <c r="L27" i="52"/>
  <c r="L26" i="52"/>
  <c r="L30" i="52"/>
  <c r="O31" i="52"/>
  <c r="L21" i="52"/>
  <c r="L25" i="52"/>
  <c r="L29" i="52"/>
  <c r="L22" i="52"/>
  <c r="L24" i="52"/>
  <c r="L28" i="52"/>
  <c r="L31" i="52"/>
  <c r="L26" i="15" l="1"/>
  <c r="E28" i="18"/>
  <c r="E29" i="18"/>
  <c r="T29" i="18" s="1"/>
  <c r="D35" i="8"/>
  <c r="J35" i="8" s="1"/>
  <c r="M26" i="15"/>
  <c r="N26" i="15" s="1"/>
  <c r="I16" i="15" l="1"/>
  <c r="I15" i="15"/>
  <c r="J27" i="28" l="1"/>
  <c r="J29" i="28"/>
  <c r="K29" i="28" s="1"/>
  <c r="O29" i="28"/>
  <c r="J28" i="28"/>
  <c r="K28" i="28" s="1"/>
  <c r="O28" i="28"/>
  <c r="N31" i="50" l="1"/>
  <c r="I31" i="50"/>
  <c r="J25" i="15" s="1"/>
  <c r="H31" i="50"/>
  <c r="I25" i="15" s="1"/>
  <c r="O30" i="50"/>
  <c r="J30" i="50"/>
  <c r="K30" i="50" s="1"/>
  <c r="O29" i="50"/>
  <c r="J29" i="50"/>
  <c r="K29" i="50" s="1"/>
  <c r="O28" i="50"/>
  <c r="J28" i="50"/>
  <c r="K28" i="50" s="1"/>
  <c r="O27" i="50"/>
  <c r="L27" i="50"/>
  <c r="J27" i="50"/>
  <c r="K27" i="50" s="1"/>
  <c r="O26" i="50"/>
  <c r="L26" i="50"/>
  <c r="J26" i="50"/>
  <c r="K26" i="50" s="1"/>
  <c r="O25" i="50"/>
  <c r="L25" i="50"/>
  <c r="J25" i="50"/>
  <c r="K25" i="50" s="1"/>
  <c r="O24" i="50"/>
  <c r="J24" i="50"/>
  <c r="K24" i="50" s="1"/>
  <c r="O23" i="50"/>
  <c r="L23" i="50"/>
  <c r="J23" i="50"/>
  <c r="K23" i="50" s="1"/>
  <c r="O22" i="50"/>
  <c r="L22" i="50"/>
  <c r="J22" i="50"/>
  <c r="K22" i="50" s="1"/>
  <c r="O21" i="50"/>
  <c r="L21" i="50"/>
  <c r="J21" i="50"/>
  <c r="K21" i="50" s="1"/>
  <c r="N31" i="49"/>
  <c r="O31" i="49" s="1"/>
  <c r="I31" i="49"/>
  <c r="J24" i="15" s="1"/>
  <c r="E26" i="18" s="1"/>
  <c r="H31" i="49"/>
  <c r="I24" i="15" s="1"/>
  <c r="O30" i="49"/>
  <c r="J30" i="49"/>
  <c r="K30" i="49" s="1"/>
  <c r="O29" i="49"/>
  <c r="J29" i="49"/>
  <c r="K29" i="49" s="1"/>
  <c r="O28" i="49"/>
  <c r="J28" i="49"/>
  <c r="K28" i="49" s="1"/>
  <c r="O27" i="49"/>
  <c r="J27" i="49"/>
  <c r="K27" i="49" s="1"/>
  <c r="O26" i="49"/>
  <c r="L26" i="49"/>
  <c r="J26" i="49"/>
  <c r="K26" i="49" s="1"/>
  <c r="O25" i="49"/>
  <c r="L25" i="49"/>
  <c r="J25" i="49"/>
  <c r="K25" i="49" s="1"/>
  <c r="O24" i="49"/>
  <c r="L24" i="49"/>
  <c r="J24" i="49"/>
  <c r="K24" i="49" s="1"/>
  <c r="O23" i="49"/>
  <c r="L23" i="49"/>
  <c r="J23" i="49"/>
  <c r="K23" i="49" s="1"/>
  <c r="O22" i="49"/>
  <c r="L22" i="49"/>
  <c r="J22" i="49"/>
  <c r="K22" i="49" s="1"/>
  <c r="O21" i="49"/>
  <c r="L21" i="49"/>
  <c r="J21" i="49"/>
  <c r="K21" i="49" s="1"/>
  <c r="N31" i="48"/>
  <c r="K23" i="15" s="1"/>
  <c r="I31" i="48"/>
  <c r="J23" i="15" s="1"/>
  <c r="E25" i="18" s="1"/>
  <c r="H31" i="48"/>
  <c r="I23" i="15" s="1"/>
  <c r="O30" i="48"/>
  <c r="J30" i="48"/>
  <c r="K30" i="48" s="1"/>
  <c r="O29" i="48"/>
  <c r="J29" i="48"/>
  <c r="K29" i="48" s="1"/>
  <c r="O28" i="48"/>
  <c r="L28" i="48"/>
  <c r="J28" i="48"/>
  <c r="K28" i="48" s="1"/>
  <c r="O27" i="48"/>
  <c r="L27" i="48"/>
  <c r="J27" i="48"/>
  <c r="K27" i="48" s="1"/>
  <c r="O26" i="48"/>
  <c r="J26" i="48"/>
  <c r="K26" i="48" s="1"/>
  <c r="O25" i="48"/>
  <c r="J25" i="48"/>
  <c r="K25" i="48" s="1"/>
  <c r="O24" i="48"/>
  <c r="L24" i="48"/>
  <c r="J24" i="48"/>
  <c r="K24" i="48" s="1"/>
  <c r="O23" i="48"/>
  <c r="L23" i="48"/>
  <c r="J23" i="48"/>
  <c r="K23" i="48" s="1"/>
  <c r="O22" i="48"/>
  <c r="J22" i="48"/>
  <c r="K22" i="48" s="1"/>
  <c r="O21" i="48"/>
  <c r="J21" i="48"/>
  <c r="K21" i="48" s="1"/>
  <c r="N31" i="47"/>
  <c r="K22" i="15" s="1"/>
  <c r="I31" i="47"/>
  <c r="L29" i="47" s="1"/>
  <c r="H31" i="47"/>
  <c r="I22" i="15" s="1"/>
  <c r="O30" i="47"/>
  <c r="J30" i="47"/>
  <c r="K30" i="47" s="1"/>
  <c r="O29" i="47"/>
  <c r="J29" i="47"/>
  <c r="K29" i="47" s="1"/>
  <c r="O28" i="47"/>
  <c r="J28" i="47"/>
  <c r="K28" i="47" s="1"/>
  <c r="O27" i="47"/>
  <c r="L27" i="47"/>
  <c r="J27" i="47"/>
  <c r="K27" i="47" s="1"/>
  <c r="O26" i="47"/>
  <c r="J26" i="47"/>
  <c r="K26" i="47" s="1"/>
  <c r="O25" i="47"/>
  <c r="J25" i="47"/>
  <c r="K25" i="47" s="1"/>
  <c r="O24" i="47"/>
  <c r="J24" i="47"/>
  <c r="K24" i="47" s="1"/>
  <c r="O23" i="47"/>
  <c r="L23" i="47"/>
  <c r="J23" i="47"/>
  <c r="K23" i="47" s="1"/>
  <c r="O22" i="47"/>
  <c r="J22" i="47"/>
  <c r="K22" i="47" s="1"/>
  <c r="O21" i="47"/>
  <c r="J21" i="47"/>
  <c r="K21" i="47" s="1"/>
  <c r="N31" i="46"/>
  <c r="I31" i="46"/>
  <c r="J21" i="15" s="1"/>
  <c r="H31" i="46"/>
  <c r="I21" i="15" s="1"/>
  <c r="C33" i="8" s="1"/>
  <c r="O30" i="46"/>
  <c r="J30" i="46"/>
  <c r="K30" i="46" s="1"/>
  <c r="O29" i="46"/>
  <c r="J29" i="46"/>
  <c r="K29" i="46" s="1"/>
  <c r="O28" i="46"/>
  <c r="J28" i="46"/>
  <c r="K28" i="46" s="1"/>
  <c r="O27" i="46"/>
  <c r="J27" i="46"/>
  <c r="K27" i="46" s="1"/>
  <c r="O26" i="46"/>
  <c r="J26" i="46"/>
  <c r="K26" i="46" s="1"/>
  <c r="O25" i="46"/>
  <c r="L25" i="46"/>
  <c r="J25" i="46"/>
  <c r="K25" i="46" s="1"/>
  <c r="O24" i="46"/>
  <c r="J24" i="46"/>
  <c r="K24" i="46" s="1"/>
  <c r="O23" i="46"/>
  <c r="J23" i="46"/>
  <c r="K23" i="46" s="1"/>
  <c r="O22" i="46"/>
  <c r="J22" i="46"/>
  <c r="K22" i="46" s="1"/>
  <c r="O21" i="46"/>
  <c r="L21" i="46"/>
  <c r="J21" i="46"/>
  <c r="K21" i="46" s="1"/>
  <c r="N31" i="45"/>
  <c r="O31" i="45" s="1"/>
  <c r="I31" i="45"/>
  <c r="J20" i="15" s="1"/>
  <c r="H31" i="45"/>
  <c r="I20" i="15" s="1"/>
  <c r="O30" i="45"/>
  <c r="J30" i="45"/>
  <c r="K30" i="45" s="1"/>
  <c r="O29" i="45"/>
  <c r="J29" i="45"/>
  <c r="K29" i="45" s="1"/>
  <c r="O28" i="45"/>
  <c r="J28" i="45"/>
  <c r="K28" i="45" s="1"/>
  <c r="O27" i="45"/>
  <c r="J27" i="45"/>
  <c r="K27" i="45" s="1"/>
  <c r="O26" i="45"/>
  <c r="J26" i="45"/>
  <c r="K26" i="45" s="1"/>
  <c r="O25" i="45"/>
  <c r="J25" i="45"/>
  <c r="K25" i="45" s="1"/>
  <c r="O24" i="45"/>
  <c r="J24" i="45"/>
  <c r="K24" i="45" s="1"/>
  <c r="O23" i="45"/>
  <c r="J23" i="45"/>
  <c r="K23" i="45" s="1"/>
  <c r="O22" i="45"/>
  <c r="J22" i="45"/>
  <c r="K22" i="45" s="1"/>
  <c r="O21" i="45"/>
  <c r="L21" i="45"/>
  <c r="J21" i="45"/>
  <c r="K21" i="45" s="1"/>
  <c r="N30" i="44"/>
  <c r="I30" i="44"/>
  <c r="J19" i="15" s="1"/>
  <c r="P16" i="23" s="1"/>
  <c r="H30" i="44"/>
  <c r="I19" i="15" s="1"/>
  <c r="H31" i="44" s="1"/>
  <c r="O29" i="44"/>
  <c r="J29" i="44"/>
  <c r="K29" i="44" s="1"/>
  <c r="O28" i="44"/>
  <c r="J28" i="44"/>
  <c r="K28" i="44" s="1"/>
  <c r="O27" i="44"/>
  <c r="J27" i="44"/>
  <c r="K27" i="44" s="1"/>
  <c r="O26" i="44"/>
  <c r="J26" i="44"/>
  <c r="K26" i="44" s="1"/>
  <c r="O25" i="44"/>
  <c r="J25" i="44"/>
  <c r="K25" i="44" s="1"/>
  <c r="O24" i="44"/>
  <c r="J24" i="44"/>
  <c r="K24" i="44" s="1"/>
  <c r="O23" i="44"/>
  <c r="J23" i="44"/>
  <c r="K23" i="44" s="1"/>
  <c r="O22" i="44"/>
  <c r="J22" i="44"/>
  <c r="K22" i="44" s="1"/>
  <c r="O21" i="44"/>
  <c r="J21" i="44"/>
  <c r="K21" i="44" s="1"/>
  <c r="N31" i="43"/>
  <c r="O31" i="43" s="1"/>
  <c r="I31" i="43"/>
  <c r="J18" i="15" s="1"/>
  <c r="H31" i="43"/>
  <c r="I18" i="15" s="1"/>
  <c r="O30" i="43"/>
  <c r="J30" i="43"/>
  <c r="K30" i="43" s="1"/>
  <c r="O29" i="43"/>
  <c r="J29" i="43"/>
  <c r="K29" i="43" s="1"/>
  <c r="O28" i="43"/>
  <c r="L28" i="43"/>
  <c r="J28" i="43"/>
  <c r="K28" i="43" s="1"/>
  <c r="O27" i="43"/>
  <c r="L27" i="43"/>
  <c r="J27" i="43"/>
  <c r="K27" i="43" s="1"/>
  <c r="O26" i="43"/>
  <c r="J26" i="43"/>
  <c r="K26" i="43" s="1"/>
  <c r="O25" i="43"/>
  <c r="L25" i="43"/>
  <c r="J25" i="43"/>
  <c r="K25" i="43" s="1"/>
  <c r="O24" i="43"/>
  <c r="L24" i="43"/>
  <c r="J24" i="43"/>
  <c r="K24" i="43" s="1"/>
  <c r="O23" i="43"/>
  <c r="J23" i="43"/>
  <c r="K23" i="43" s="1"/>
  <c r="O22" i="43"/>
  <c r="L22" i="43"/>
  <c r="J22" i="43"/>
  <c r="K22" i="43" s="1"/>
  <c r="O21" i="43"/>
  <c r="L21" i="43"/>
  <c r="J21" i="43"/>
  <c r="K21" i="43" s="1"/>
  <c r="N30" i="42"/>
  <c r="K17" i="15" s="1"/>
  <c r="I30" i="42"/>
  <c r="H30" i="42"/>
  <c r="I17" i="15" s="1"/>
  <c r="H31" i="42" s="1"/>
  <c r="O29" i="42"/>
  <c r="J29" i="42"/>
  <c r="K29" i="42" s="1"/>
  <c r="O28" i="42"/>
  <c r="J28" i="42"/>
  <c r="K28" i="42" s="1"/>
  <c r="O27" i="42"/>
  <c r="J27" i="42"/>
  <c r="K27" i="42" s="1"/>
  <c r="O26" i="42"/>
  <c r="J26" i="42"/>
  <c r="K26" i="42" s="1"/>
  <c r="O25" i="42"/>
  <c r="J25" i="42"/>
  <c r="K25" i="42" s="1"/>
  <c r="O24" i="42"/>
  <c r="J24" i="42"/>
  <c r="K24" i="42" s="1"/>
  <c r="O23" i="42"/>
  <c r="J23" i="42"/>
  <c r="K23" i="42" s="1"/>
  <c r="O22" i="42"/>
  <c r="J22" i="42"/>
  <c r="K22" i="42" s="1"/>
  <c r="O21" i="42"/>
  <c r="J21" i="42"/>
  <c r="K21" i="42" s="1"/>
  <c r="N26" i="41"/>
  <c r="I26" i="41"/>
  <c r="J14" i="15" s="1"/>
  <c r="E16" i="18" s="1"/>
  <c r="H26" i="41"/>
  <c r="I14" i="15" s="1"/>
  <c r="H27" i="41" s="1"/>
  <c r="O25" i="41"/>
  <c r="J25" i="41"/>
  <c r="K25" i="41" s="1"/>
  <c r="O24" i="41"/>
  <c r="J24" i="41"/>
  <c r="K24" i="41" s="1"/>
  <c r="O23" i="41"/>
  <c r="J23" i="41"/>
  <c r="K23" i="41" s="1"/>
  <c r="O22" i="41"/>
  <c r="J22" i="41"/>
  <c r="K22" i="41" s="1"/>
  <c r="O21" i="41"/>
  <c r="J21" i="41"/>
  <c r="K21" i="41" s="1"/>
  <c r="N32" i="40"/>
  <c r="I32" i="40"/>
  <c r="H32" i="40"/>
  <c r="I13" i="15" s="1"/>
  <c r="H33" i="40" s="1"/>
  <c r="O31" i="40"/>
  <c r="J31" i="40"/>
  <c r="K31" i="40" s="1"/>
  <c r="O30" i="40"/>
  <c r="J30" i="40"/>
  <c r="K30" i="40" s="1"/>
  <c r="O29" i="40"/>
  <c r="J29" i="40"/>
  <c r="K29" i="40" s="1"/>
  <c r="O28" i="40"/>
  <c r="J28" i="40"/>
  <c r="K28" i="40" s="1"/>
  <c r="O27" i="40"/>
  <c r="J27" i="40"/>
  <c r="K27" i="40" s="1"/>
  <c r="O26" i="40"/>
  <c r="J26" i="40"/>
  <c r="K26" i="40" s="1"/>
  <c r="O25" i="40"/>
  <c r="J25" i="40"/>
  <c r="K25" i="40" s="1"/>
  <c r="O24" i="40"/>
  <c r="J24" i="40"/>
  <c r="K24" i="40" s="1"/>
  <c r="O22" i="40"/>
  <c r="J22" i="40"/>
  <c r="K22" i="40" s="1"/>
  <c r="O21" i="40"/>
  <c r="J21" i="40"/>
  <c r="K21" i="40" s="1"/>
  <c r="N32" i="39"/>
  <c r="I32" i="39"/>
  <c r="H32" i="39"/>
  <c r="I12" i="15" s="1"/>
  <c r="O31" i="39"/>
  <c r="J31" i="39"/>
  <c r="K31" i="39" s="1"/>
  <c r="O30" i="39"/>
  <c r="J30" i="39"/>
  <c r="K30" i="39" s="1"/>
  <c r="O29" i="39"/>
  <c r="J29" i="39"/>
  <c r="K29" i="39" s="1"/>
  <c r="O28" i="39"/>
  <c r="J28" i="39"/>
  <c r="K28" i="39" s="1"/>
  <c r="O27" i="39"/>
  <c r="J27" i="39"/>
  <c r="K27" i="39" s="1"/>
  <c r="O26" i="39"/>
  <c r="J26" i="39"/>
  <c r="K26" i="39" s="1"/>
  <c r="O25" i="39"/>
  <c r="J25" i="39"/>
  <c r="K25" i="39" s="1"/>
  <c r="O24" i="39"/>
  <c r="J24" i="39"/>
  <c r="K24" i="39" s="1"/>
  <c r="O22" i="39"/>
  <c r="J22" i="39"/>
  <c r="K22" i="39" s="1"/>
  <c r="O21" i="39"/>
  <c r="J21" i="39"/>
  <c r="K21" i="39" s="1"/>
  <c r="N32" i="38"/>
  <c r="I32" i="38"/>
  <c r="J11" i="15" s="1"/>
  <c r="E13" i="18" s="1"/>
  <c r="H32" i="38"/>
  <c r="I11" i="15" s="1"/>
  <c r="O31" i="38"/>
  <c r="J31" i="38"/>
  <c r="K31" i="38" s="1"/>
  <c r="O30" i="38"/>
  <c r="J30" i="38"/>
  <c r="K30" i="38" s="1"/>
  <c r="O29" i="38"/>
  <c r="J29" i="38"/>
  <c r="K29" i="38" s="1"/>
  <c r="O28" i="38"/>
  <c r="J28" i="38"/>
  <c r="K28" i="38" s="1"/>
  <c r="O27" i="38"/>
  <c r="J27" i="38"/>
  <c r="K27" i="38" s="1"/>
  <c r="O26" i="38"/>
  <c r="J26" i="38"/>
  <c r="K26" i="38" s="1"/>
  <c r="O25" i="38"/>
  <c r="J25" i="38"/>
  <c r="K25" i="38" s="1"/>
  <c r="O24" i="38"/>
  <c r="J24" i="38"/>
  <c r="K24" i="38" s="1"/>
  <c r="O22" i="38"/>
  <c r="J22" i="38"/>
  <c r="K22" i="38" s="1"/>
  <c r="O21" i="38"/>
  <c r="J21" i="38"/>
  <c r="K21" i="38" s="1"/>
  <c r="L24" i="37"/>
  <c r="H30" i="37"/>
  <c r="I10" i="15" s="1"/>
  <c r="O29" i="37"/>
  <c r="J29" i="37"/>
  <c r="K29" i="37" s="1"/>
  <c r="O28" i="37"/>
  <c r="J28" i="37"/>
  <c r="K28" i="37" s="1"/>
  <c r="O27" i="37"/>
  <c r="J27" i="37"/>
  <c r="K27" i="37" s="1"/>
  <c r="O26" i="37"/>
  <c r="J26" i="37"/>
  <c r="K26" i="37" s="1"/>
  <c r="O25" i="37"/>
  <c r="J25" i="37"/>
  <c r="K25" i="37" s="1"/>
  <c r="O24" i="37"/>
  <c r="J24" i="37"/>
  <c r="K24" i="37" s="1"/>
  <c r="O23" i="37"/>
  <c r="J23" i="37"/>
  <c r="K23" i="37" s="1"/>
  <c r="O21" i="37"/>
  <c r="J21" i="37"/>
  <c r="K21" i="37" s="1"/>
  <c r="N31" i="34"/>
  <c r="K15" i="15" s="1"/>
  <c r="I31" i="34"/>
  <c r="H31" i="34"/>
  <c r="O30" i="34"/>
  <c r="J30" i="34"/>
  <c r="K30" i="34" s="1"/>
  <c r="O29" i="34"/>
  <c r="J29" i="34"/>
  <c r="K29" i="34" s="1"/>
  <c r="O28" i="34"/>
  <c r="J28" i="34"/>
  <c r="K28" i="34" s="1"/>
  <c r="O27" i="34"/>
  <c r="J27" i="34"/>
  <c r="K27" i="34" s="1"/>
  <c r="O26" i="34"/>
  <c r="J26" i="34"/>
  <c r="K26" i="34" s="1"/>
  <c r="O25" i="34"/>
  <c r="J25" i="34"/>
  <c r="K25" i="34" s="1"/>
  <c r="O24" i="34"/>
  <c r="J24" i="34"/>
  <c r="K24" i="34" s="1"/>
  <c r="O23" i="34"/>
  <c r="J23" i="34"/>
  <c r="K23" i="34" s="1"/>
  <c r="O22" i="34"/>
  <c r="J22" i="34"/>
  <c r="K22" i="34" s="1"/>
  <c r="O21" i="34"/>
  <c r="J21" i="34"/>
  <c r="K21" i="34" s="1"/>
  <c r="I28" i="15" l="1"/>
  <c r="H31" i="37"/>
  <c r="E18" i="23"/>
  <c r="E20" i="18"/>
  <c r="D33" i="8"/>
  <c r="E23" i="18"/>
  <c r="E22" i="18"/>
  <c r="E24" i="23"/>
  <c r="J12" i="15"/>
  <c r="E14" i="18" s="1"/>
  <c r="L23" i="39"/>
  <c r="J13" i="15"/>
  <c r="E15" i="18" s="1"/>
  <c r="L23" i="40"/>
  <c r="D31" i="8"/>
  <c r="J31" i="8" s="1"/>
  <c r="E27" i="18"/>
  <c r="E21" i="18"/>
  <c r="M16" i="23"/>
  <c r="L31" i="34"/>
  <c r="J15" i="15"/>
  <c r="H14" i="23" s="1"/>
  <c r="L21" i="41"/>
  <c r="L24" i="41"/>
  <c r="L21" i="38"/>
  <c r="L22" i="38"/>
  <c r="O32" i="38"/>
  <c r="L25" i="15"/>
  <c r="M25" i="15"/>
  <c r="N25" i="15" s="1"/>
  <c r="L24" i="50"/>
  <c r="L28" i="50"/>
  <c r="O31" i="50"/>
  <c r="L22" i="37"/>
  <c r="L28" i="37"/>
  <c r="L25" i="37"/>
  <c r="J10" i="15"/>
  <c r="L27" i="49"/>
  <c r="L24" i="46"/>
  <c r="L23" i="46"/>
  <c r="O31" i="46"/>
  <c r="L22" i="46"/>
  <c r="L30" i="48"/>
  <c r="L22" i="48"/>
  <c r="L26" i="48"/>
  <c r="O31" i="48"/>
  <c r="L21" i="48"/>
  <c r="L25" i="48"/>
  <c r="L29" i="48"/>
  <c r="L22" i="47"/>
  <c r="L30" i="47"/>
  <c r="L21" i="47"/>
  <c r="L25" i="47"/>
  <c r="J31" i="47"/>
  <c r="K31" i="47" s="1"/>
  <c r="J22" i="15"/>
  <c r="L26" i="47"/>
  <c r="O31" i="47"/>
  <c r="L24" i="47"/>
  <c r="L28" i="47"/>
  <c r="L23" i="41"/>
  <c r="O26" i="41"/>
  <c r="L22" i="41"/>
  <c r="O32" i="40"/>
  <c r="L32" i="40"/>
  <c r="O32" i="39"/>
  <c r="L24" i="44"/>
  <c r="O30" i="44"/>
  <c r="L23" i="44"/>
  <c r="L22" i="44"/>
  <c r="L21" i="44"/>
  <c r="L23" i="43"/>
  <c r="L26" i="43"/>
  <c r="J30" i="42"/>
  <c r="K30" i="42" s="1"/>
  <c r="J17" i="15"/>
  <c r="J31" i="50"/>
  <c r="K31" i="50" s="1"/>
  <c r="J31" i="49"/>
  <c r="K31" i="49" s="1"/>
  <c r="J31" i="48"/>
  <c r="K31" i="48" s="1"/>
  <c r="J31" i="46"/>
  <c r="K31" i="46" s="1"/>
  <c r="J31" i="45"/>
  <c r="K31" i="45" s="1"/>
  <c r="J30" i="44"/>
  <c r="K30" i="44" s="1"/>
  <c r="J31" i="43"/>
  <c r="K31" i="43" s="1"/>
  <c r="J26" i="41"/>
  <c r="K26" i="41" s="1"/>
  <c r="J32" i="40"/>
  <c r="K32" i="40" s="1"/>
  <c r="J32" i="39"/>
  <c r="K32" i="39" s="1"/>
  <c r="J32" i="38"/>
  <c r="K32" i="38" s="1"/>
  <c r="L27" i="37"/>
  <c r="L26" i="37"/>
  <c r="L30" i="37"/>
  <c r="L23" i="37"/>
  <c r="L21" i="37"/>
  <c r="O30" i="37"/>
  <c r="J30" i="37"/>
  <c r="K30" i="37" s="1"/>
  <c r="O31" i="34"/>
  <c r="L25" i="42"/>
  <c r="L29" i="42"/>
  <c r="L24" i="42"/>
  <c r="L28" i="42"/>
  <c r="L22" i="42"/>
  <c r="L26" i="42"/>
  <c r="L21" i="42"/>
  <c r="O30" i="42"/>
  <c r="L23" i="42"/>
  <c r="L27" i="42"/>
  <c r="J31" i="34"/>
  <c r="K31" i="34" s="1"/>
  <c r="L31" i="50"/>
  <c r="L29" i="50"/>
  <c r="L30" i="50"/>
  <c r="L31" i="49"/>
  <c r="L28" i="49"/>
  <c r="L29" i="49"/>
  <c r="L30" i="49"/>
  <c r="L31" i="48"/>
  <c r="L31" i="47"/>
  <c r="L31" i="46"/>
  <c r="L26" i="46"/>
  <c r="L27" i="46"/>
  <c r="L28" i="46"/>
  <c r="L29" i="46"/>
  <c r="L30" i="46"/>
  <c r="L31" i="45"/>
  <c r="L22" i="45"/>
  <c r="L23" i="45"/>
  <c r="L24" i="45"/>
  <c r="L25" i="45"/>
  <c r="L26" i="45"/>
  <c r="L27" i="45"/>
  <c r="L28" i="45"/>
  <c r="L29" i="45"/>
  <c r="L30" i="45"/>
  <c r="L30" i="44"/>
  <c r="L25" i="44"/>
  <c r="L26" i="44"/>
  <c r="L27" i="44"/>
  <c r="L28" i="44"/>
  <c r="L29" i="44"/>
  <c r="L31" i="43"/>
  <c r="L29" i="43"/>
  <c r="L30" i="43"/>
  <c r="L30" i="42"/>
  <c r="L26" i="41"/>
  <c r="L25" i="41"/>
  <c r="L21" i="40"/>
  <c r="L22" i="40"/>
  <c r="L24" i="40"/>
  <c r="L25" i="40"/>
  <c r="L26" i="40"/>
  <c r="L27" i="40"/>
  <c r="L28" i="40"/>
  <c r="L29" i="40"/>
  <c r="L30" i="40"/>
  <c r="L31" i="40"/>
  <c r="L32" i="39"/>
  <c r="L21" i="39"/>
  <c r="L22" i="39"/>
  <c r="L24" i="39"/>
  <c r="L25" i="39"/>
  <c r="L26" i="39"/>
  <c r="L27" i="39"/>
  <c r="L28" i="39"/>
  <c r="L29" i="39"/>
  <c r="L30" i="39"/>
  <c r="L31" i="39"/>
  <c r="L32" i="38"/>
  <c r="L24" i="38"/>
  <c r="L25" i="38"/>
  <c r="L26" i="38"/>
  <c r="L27" i="38"/>
  <c r="L28" i="38"/>
  <c r="L29" i="38"/>
  <c r="L30" i="38"/>
  <c r="L31" i="38"/>
  <c r="L29" i="37"/>
  <c r="L21" i="34"/>
  <c r="L22" i="34"/>
  <c r="L23" i="34"/>
  <c r="L24" i="34"/>
  <c r="L25" i="34"/>
  <c r="L26" i="34"/>
  <c r="L27" i="34"/>
  <c r="L28" i="34"/>
  <c r="L29" i="34"/>
  <c r="L30" i="34"/>
  <c r="H10" i="23" l="1"/>
  <c r="J33" i="8"/>
  <c r="H16" i="23"/>
  <c r="H22" i="23"/>
  <c r="L10" i="15"/>
  <c r="E24" i="18"/>
  <c r="E16" i="23"/>
  <c r="E19" i="18"/>
  <c r="E14" i="23"/>
  <c r="E17" i="18"/>
  <c r="E22" i="23"/>
  <c r="H49" i="18"/>
  <c r="I49" i="18"/>
  <c r="J49" i="18"/>
  <c r="K49" i="18"/>
  <c r="L49" i="18"/>
  <c r="M49" i="18"/>
  <c r="N49" i="18"/>
  <c r="O49" i="18"/>
  <c r="Q49" i="18"/>
  <c r="G49" i="18"/>
  <c r="E12" i="18"/>
  <c r="D12" i="18"/>
  <c r="C12" i="18"/>
  <c r="B12" i="18"/>
  <c r="A12" i="18"/>
  <c r="M27" i="15"/>
  <c r="N27" i="15" s="1"/>
  <c r="M11" i="15"/>
  <c r="N11" i="15" s="1"/>
  <c r="M12" i="15"/>
  <c r="N12" i="15" s="1"/>
  <c r="M13" i="15"/>
  <c r="N13" i="15" s="1"/>
  <c r="M15" i="15"/>
  <c r="N15" i="15" s="1"/>
  <c r="M17" i="15"/>
  <c r="N17" i="15" s="1"/>
  <c r="M18" i="15"/>
  <c r="N18" i="15" s="1"/>
  <c r="M19" i="15"/>
  <c r="N19" i="15" s="1"/>
  <c r="M20" i="15"/>
  <c r="N20" i="15" s="1"/>
  <c r="M21" i="15"/>
  <c r="N21" i="15" s="1"/>
  <c r="M22" i="15"/>
  <c r="N22" i="15" s="1"/>
  <c r="M23" i="15"/>
  <c r="N23" i="15" s="1"/>
  <c r="M24" i="15"/>
  <c r="N24" i="15" s="1"/>
  <c r="M10" i="15"/>
  <c r="L11" i="15"/>
  <c r="L12" i="15"/>
  <c r="L13" i="15"/>
  <c r="L15" i="15"/>
  <c r="L17" i="15"/>
  <c r="L18" i="15"/>
  <c r="L19" i="15"/>
  <c r="L20" i="15"/>
  <c r="L21" i="15"/>
  <c r="L22" i="15"/>
  <c r="L23" i="15"/>
  <c r="L24" i="15"/>
  <c r="L27" i="15"/>
  <c r="M7" i="23" l="1"/>
  <c r="M17" i="23" s="1"/>
  <c r="P7" i="23"/>
  <c r="N10" i="15"/>
  <c r="F44" i="8"/>
  <c r="C30" i="8"/>
  <c r="C36" i="8" s="1"/>
  <c r="M14" i="23" l="1"/>
  <c r="P14" i="23"/>
  <c r="P17" i="23"/>
  <c r="G44" i="8"/>
  <c r="J22" i="28"/>
  <c r="K22" i="28" s="1"/>
  <c r="J23" i="28"/>
  <c r="K23" i="28" s="1"/>
  <c r="J24" i="28"/>
  <c r="K24" i="28" s="1"/>
  <c r="J25" i="28"/>
  <c r="K25" i="28" s="1"/>
  <c r="J26" i="28"/>
  <c r="K26" i="28" s="1"/>
  <c r="K27" i="28"/>
  <c r="J30" i="28"/>
  <c r="K30" i="28" s="1"/>
  <c r="J31" i="28"/>
  <c r="K31" i="28" s="1"/>
  <c r="J32" i="28"/>
  <c r="K32" i="28" s="1"/>
  <c r="J21" i="28"/>
  <c r="K21" i="28" s="1"/>
  <c r="P13" i="18"/>
  <c r="R13" i="18" s="1"/>
  <c r="T13" i="18" s="1"/>
  <c r="P14" i="18"/>
  <c r="R14" i="18" s="1"/>
  <c r="T14" i="18" s="1"/>
  <c r="P15" i="18"/>
  <c r="R15" i="18" s="1"/>
  <c r="P16" i="18"/>
  <c r="R16" i="18" s="1"/>
  <c r="T16" i="18" s="1"/>
  <c r="P17" i="18"/>
  <c r="R17" i="18" s="1"/>
  <c r="T17" i="18" s="1"/>
  <c r="P18" i="18"/>
  <c r="R18" i="18" s="1"/>
  <c r="P19" i="18"/>
  <c r="R19" i="18" s="1"/>
  <c r="T19" i="18" s="1"/>
  <c r="P20" i="18"/>
  <c r="R20" i="18" s="1"/>
  <c r="T20" i="18" s="1"/>
  <c r="P21" i="18"/>
  <c r="R21" i="18" s="1"/>
  <c r="T21" i="18" s="1"/>
  <c r="P22" i="18"/>
  <c r="R22" i="18" s="1"/>
  <c r="T22" i="18" s="1"/>
  <c r="P23" i="18"/>
  <c r="R23" i="18" s="1"/>
  <c r="T23" i="18" s="1"/>
  <c r="P24" i="18"/>
  <c r="R24" i="18" s="1"/>
  <c r="T24" i="18" s="1"/>
  <c r="P25" i="18"/>
  <c r="R25" i="18" s="1"/>
  <c r="T25" i="18" s="1"/>
  <c r="P26" i="18"/>
  <c r="P27" i="18"/>
  <c r="R27" i="18" s="1"/>
  <c r="T27" i="18" s="1"/>
  <c r="P28" i="18"/>
  <c r="R28" i="18" s="1"/>
  <c r="T28" i="18" s="1"/>
  <c r="T15" i="18" l="1"/>
  <c r="R26" i="18"/>
  <c r="T26" i="18" s="1"/>
  <c r="A4" i="15"/>
  <c r="O21" i="28" l="1"/>
  <c r="E10" i="23"/>
  <c r="C14" i="8" l="1"/>
  <c r="N8" i="23" l="1"/>
  <c r="N16" i="23"/>
  <c r="F14" i="23"/>
  <c r="B44" i="8"/>
  <c r="C17" i="8"/>
  <c r="C44" i="8" l="1"/>
  <c r="D44" i="8" s="1"/>
  <c r="C49" i="8"/>
  <c r="C13" i="8"/>
  <c r="C12" i="8" s="1"/>
  <c r="D7" i="23" s="1"/>
  <c r="E31" i="8"/>
  <c r="F31" i="8" s="1"/>
  <c r="E33" i="8"/>
  <c r="F33" i="8" s="1"/>
  <c r="E34" i="8"/>
  <c r="F34" i="8" s="1"/>
  <c r="E35" i="8"/>
  <c r="F35" i="8" s="1"/>
  <c r="F15" i="8"/>
  <c r="F16" i="8"/>
  <c r="F18" i="8"/>
  <c r="E19" i="8"/>
  <c r="F19" i="8" s="1"/>
  <c r="E20" i="8"/>
  <c r="F20" i="8" s="1"/>
  <c r="E21" i="8"/>
  <c r="F21" i="8" s="1"/>
  <c r="E22" i="8"/>
  <c r="F22" i="8" s="1"/>
  <c r="E23" i="8"/>
  <c r="F23" i="8" s="1"/>
  <c r="E24" i="8"/>
  <c r="F24" i="8" s="1"/>
  <c r="E26" i="8"/>
  <c r="F26" i="8" s="1"/>
  <c r="E27" i="8"/>
  <c r="F27" i="8" s="1"/>
  <c r="D10" i="23"/>
  <c r="F10" i="23" s="1"/>
  <c r="D8" i="23"/>
  <c r="E8" i="23"/>
  <c r="F8" i="23" l="1"/>
  <c r="D9" i="23"/>
  <c r="D11" i="23" s="1"/>
  <c r="D17" i="8" l="1"/>
  <c r="F17" i="8" s="1"/>
  <c r="A36" i="15"/>
  <c r="E13" i="8" l="1"/>
  <c r="F13" i="8" s="1"/>
  <c r="F14" i="8"/>
  <c r="A37" i="15"/>
  <c r="O22" i="28"/>
  <c r="O23" i="28"/>
  <c r="O24" i="28"/>
  <c r="O25" i="28"/>
  <c r="O26" i="28"/>
  <c r="O27" i="28"/>
  <c r="O30" i="28"/>
  <c r="O31" i="28"/>
  <c r="O32" i="28"/>
  <c r="F26" i="23"/>
  <c r="F24" i="23"/>
  <c r="F22" i="23"/>
  <c r="F20" i="23"/>
  <c r="F18" i="23"/>
  <c r="F16" i="23"/>
  <c r="N33" i="28"/>
  <c r="K16" i="15" s="1"/>
  <c r="H33" i="28"/>
  <c r="I33" i="28"/>
  <c r="K28" i="15" l="1"/>
  <c r="K42" i="15" s="1"/>
  <c r="L29" i="28"/>
  <c r="J16" i="15"/>
  <c r="L21" i="28"/>
  <c r="L28" i="28"/>
  <c r="L25" i="28"/>
  <c r="L26" i="28"/>
  <c r="L27" i="28"/>
  <c r="L32" i="28"/>
  <c r="L30" i="28"/>
  <c r="L24" i="28"/>
  <c r="L31" i="28"/>
  <c r="L22" i="28"/>
  <c r="L23" i="28"/>
  <c r="O33" i="28"/>
  <c r="D12" i="8"/>
  <c r="D11" i="8" s="1"/>
  <c r="D28" i="8" s="1"/>
  <c r="J33" i="28"/>
  <c r="K33" i="28" s="1"/>
  <c r="L33" i="28"/>
  <c r="I32" i="8" l="1"/>
  <c r="I30" i="8" s="1"/>
  <c r="I36" i="8" s="1"/>
  <c r="J28" i="15"/>
  <c r="L28" i="15" s="1"/>
  <c r="D32" i="8"/>
  <c r="B49" i="8"/>
  <c r="E7" i="23"/>
  <c r="F7" i="23" s="1"/>
  <c r="H7" i="23"/>
  <c r="H9" i="23" s="1"/>
  <c r="H11" i="23" s="1"/>
  <c r="D30" i="8"/>
  <c r="E18" i="18"/>
  <c r="T18" i="18" s="1"/>
  <c r="L16" i="15"/>
  <c r="M16" i="15"/>
  <c r="M28" i="15" s="1"/>
  <c r="N28" i="15" s="1"/>
  <c r="E49" i="18" l="1"/>
  <c r="J30" i="8"/>
  <c r="J32" i="8"/>
  <c r="E9" i="23"/>
  <c r="H23" i="23"/>
  <c r="H15" i="23"/>
  <c r="H19" i="23"/>
  <c r="H17" i="23"/>
  <c r="H21" i="23"/>
  <c r="H27" i="23"/>
  <c r="H25" i="23"/>
  <c r="P9" i="23"/>
  <c r="P15" i="23" s="1"/>
  <c r="G61" i="30"/>
  <c r="E32" i="8"/>
  <c r="F32" i="8" s="1"/>
  <c r="D36" i="8"/>
  <c r="D37" i="8" s="1"/>
  <c r="N16" i="15"/>
  <c r="E11" i="23"/>
  <c r="F11" i="23" s="1"/>
  <c r="F9" i="23"/>
  <c r="C43" i="8"/>
  <c r="E25" i="8"/>
  <c r="F25" i="8" s="1"/>
  <c r="G11" i="8" l="1"/>
  <c r="I41" i="15"/>
  <c r="G36" i="8"/>
  <c r="J36" i="8"/>
  <c r="G30" i="8"/>
  <c r="C45" i="8"/>
  <c r="G17" i="8"/>
  <c r="G21" i="8"/>
  <c r="G14" i="8"/>
  <c r="G12" i="8"/>
  <c r="G13" i="8"/>
  <c r="G22" i="8"/>
  <c r="G16" i="8"/>
  <c r="G24" i="8"/>
  <c r="G26" i="8"/>
  <c r="G23" i="8"/>
  <c r="G20" i="8"/>
  <c r="G28" i="8"/>
  <c r="G25" i="8"/>
  <c r="G27" i="8"/>
  <c r="G19" i="8"/>
  <c r="G18" i="8"/>
  <c r="G15" i="8"/>
  <c r="A35" i="15"/>
  <c r="A34" i="15"/>
  <c r="E11" i="8" l="1"/>
  <c r="F11" i="8" s="1"/>
  <c r="E12" i="8"/>
  <c r="F12" i="8" s="1"/>
  <c r="B43" i="8" l="1"/>
  <c r="C28" i="8"/>
  <c r="L9" i="23"/>
  <c r="B45" i="8" l="1"/>
  <c r="D45" i="8" s="1"/>
  <c r="D43" i="8"/>
  <c r="M9" i="23"/>
  <c r="G62" i="30" s="1"/>
  <c r="F62" i="30" s="1"/>
  <c r="P30" i="18"/>
  <c r="R30" i="18" s="1"/>
  <c r="P31" i="18"/>
  <c r="R31" i="18" s="1"/>
  <c r="P32" i="18"/>
  <c r="R32" i="18" s="1"/>
  <c r="P33" i="18"/>
  <c r="R33" i="18" s="1"/>
  <c r="P34" i="18"/>
  <c r="R34" i="18" s="1"/>
  <c r="P35" i="18"/>
  <c r="R35" i="18" s="1"/>
  <c r="P36" i="18"/>
  <c r="R36" i="18" s="1"/>
  <c r="P37" i="18"/>
  <c r="R37" i="18" s="1"/>
  <c r="P38" i="18"/>
  <c r="R38" i="18" s="1"/>
  <c r="P39" i="18"/>
  <c r="R39" i="18" s="1"/>
  <c r="P40" i="18"/>
  <c r="R40" i="18" s="1"/>
  <c r="P41" i="18"/>
  <c r="R41" i="18" s="1"/>
  <c r="P42" i="18"/>
  <c r="R42" i="18" s="1"/>
  <c r="P43" i="18"/>
  <c r="R43" i="18" s="1"/>
  <c r="P44" i="18"/>
  <c r="R44" i="18" s="1"/>
  <c r="P45" i="18"/>
  <c r="R45" i="18" s="1"/>
  <c r="P46" i="18"/>
  <c r="R46" i="18" s="1"/>
  <c r="P47" i="18"/>
  <c r="R47" i="18" s="1"/>
  <c r="P48" i="18"/>
  <c r="R48" i="18" s="1"/>
  <c r="N9" i="23" l="1"/>
  <c r="M15" i="23"/>
  <c r="A46" i="18"/>
  <c r="B46" i="18"/>
  <c r="C46" i="18"/>
  <c r="D46" i="18"/>
  <c r="A47" i="18"/>
  <c r="B47" i="18"/>
  <c r="C47" i="18"/>
  <c r="D47" i="18"/>
  <c r="A48" i="18"/>
  <c r="B48" i="18"/>
  <c r="C48" i="18"/>
  <c r="D48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E30" i="8" l="1"/>
  <c r="F30" i="8" s="1"/>
  <c r="E45" i="18"/>
  <c r="T45" i="18" s="1"/>
  <c r="E41" i="18"/>
  <c r="T41" i="18" s="1"/>
  <c r="E37" i="18"/>
  <c r="T37" i="18" s="1"/>
  <c r="E33" i="18"/>
  <c r="T33" i="18" s="1"/>
  <c r="E48" i="18"/>
  <c r="T48" i="18" s="1"/>
  <c r="E44" i="18"/>
  <c r="T44" i="18" s="1"/>
  <c r="E40" i="18"/>
  <c r="T40" i="18" s="1"/>
  <c r="E36" i="18"/>
  <c r="T36" i="18" s="1"/>
  <c r="E32" i="18"/>
  <c r="T32" i="18" s="1"/>
  <c r="E47" i="18"/>
  <c r="T47" i="18" s="1"/>
  <c r="E43" i="18"/>
  <c r="T43" i="18" s="1"/>
  <c r="E39" i="18"/>
  <c r="T39" i="18" s="1"/>
  <c r="E35" i="18"/>
  <c r="T35" i="18" s="1"/>
  <c r="E31" i="18"/>
  <c r="T31" i="18" s="1"/>
  <c r="E46" i="18"/>
  <c r="T46" i="18" s="1"/>
  <c r="E42" i="18"/>
  <c r="T42" i="18" s="1"/>
  <c r="E38" i="18"/>
  <c r="T38" i="18" s="1"/>
  <c r="E34" i="18"/>
  <c r="T34" i="18" s="1"/>
  <c r="E30" i="18"/>
  <c r="T30" i="18" s="1"/>
  <c r="G32" i="8" l="1"/>
  <c r="G31" i="8"/>
  <c r="G34" i="8"/>
  <c r="G33" i="8"/>
  <c r="G35" i="8"/>
  <c r="E21" i="23" l="1"/>
  <c r="E27" i="23"/>
  <c r="E19" i="23"/>
  <c r="E25" i="23"/>
  <c r="E17" i="23"/>
  <c r="E23" i="23"/>
  <c r="E15" i="23"/>
  <c r="P12" i="18"/>
  <c r="P49" i="18" s="1"/>
  <c r="F43" i="8" l="1"/>
  <c r="B50" i="8"/>
  <c r="E45" i="8"/>
  <c r="C50" i="8"/>
  <c r="C51" i="8" s="1"/>
  <c r="G43" i="8" l="1"/>
  <c r="F45" i="8"/>
  <c r="G45" i="8" s="1"/>
  <c r="B51" i="8"/>
  <c r="D30" i="18" l="1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E36" i="8" l="1"/>
  <c r="F36" i="8" s="1"/>
  <c r="R12" i="18"/>
  <c r="T12" i="18" l="1"/>
  <c r="T49" i="18"/>
  <c r="S47" i="18"/>
  <c r="E28" i="8"/>
  <c r="F28" i="8" s="1"/>
  <c r="C37" i="8"/>
  <c r="L15" i="23"/>
  <c r="L50" i="18" l="1"/>
  <c r="O50" i="18"/>
  <c r="S20" i="18"/>
  <c r="G50" i="18"/>
  <c r="S16" i="18"/>
  <c r="S27" i="18"/>
  <c r="R50" i="18"/>
  <c r="K50" i="18"/>
  <c r="S31" i="18"/>
  <c r="S25" i="18"/>
  <c r="Q50" i="18"/>
  <c r="S18" i="18"/>
  <c r="S46" i="18"/>
  <c r="S44" i="18"/>
  <c r="S34" i="18"/>
  <c r="N50" i="18"/>
  <c r="J50" i="18"/>
  <c r="S21" i="18"/>
  <c r="S33" i="18"/>
  <c r="S14" i="18"/>
  <c r="S26" i="18"/>
  <c r="S15" i="18"/>
  <c r="S24" i="18"/>
  <c r="S40" i="18"/>
  <c r="M50" i="18"/>
  <c r="H50" i="18"/>
  <c r="I50" i="18"/>
  <c r="S22" i="18"/>
  <c r="S17" i="18"/>
  <c r="S28" i="18"/>
  <c r="S19" i="18"/>
  <c r="S38" i="18"/>
  <c r="S35" i="18"/>
  <c r="S32" i="18"/>
  <c r="S36" i="18"/>
  <c r="S43" i="18"/>
  <c r="S29" i="18"/>
  <c r="S48" i="18"/>
  <c r="S37" i="18"/>
  <c r="S42" i="18"/>
  <c r="S41" i="18"/>
  <c r="P50" i="18"/>
  <c r="S23" i="18"/>
  <c r="S13" i="18"/>
  <c r="S12" i="18"/>
  <c r="S39" i="18"/>
  <c r="S45" i="18"/>
  <c r="S30" i="18"/>
  <c r="N7" i="23"/>
  <c r="N17" i="23"/>
  <c r="D15" i="23"/>
  <c r="F15" i="23" s="1"/>
  <c r="S49" i="18" l="1"/>
  <c r="N14" i="23"/>
  <c r="N15" i="23"/>
  <c r="D27" i="23"/>
  <c r="F27" i="23" s="1"/>
  <c r="D19" i="23"/>
  <c r="F19" i="23" s="1"/>
  <c r="D17" i="23"/>
  <c r="F17" i="23" s="1"/>
  <c r="D21" i="23"/>
  <c r="F21" i="23" s="1"/>
  <c r="D25" i="23"/>
  <c r="F25" i="23" s="1"/>
  <c r="D23" i="23"/>
  <c r="F23" i="23" s="1"/>
  <c r="E37" i="8" l="1"/>
</calcChain>
</file>

<file path=xl/comments1.xml><?xml version="1.0" encoding="utf-8"?>
<comments xmlns="http://schemas.openxmlformats.org/spreadsheetml/2006/main">
  <authors>
    <author>Tania Mara Chaves Daldegan</author>
  </authors>
  <commentList>
    <comment ref="E8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12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40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45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51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56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59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70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73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76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  <comment ref="E79" authorId="0" shapeId="0">
      <text>
        <r>
          <rPr>
            <b/>
            <sz val="9"/>
            <color indexed="81"/>
            <rFont val="Segoe UI"/>
            <family val="2"/>
          </rPr>
          <t>Meta da Programação</t>
        </r>
      </text>
    </comment>
  </commentList>
</comments>
</file>

<file path=xl/comments2.xml><?xml version="1.0" encoding="utf-8"?>
<comments xmlns="http://schemas.openxmlformats.org/spreadsheetml/2006/main">
  <authors>
    <author>Gustavo Milhomem Brito Menezes</author>
    <author>Flavia Rios Costa</author>
    <author>Tania Mara Chaves Daldegan</author>
  </authors>
  <commentList>
    <comment ref="A8" authorId="0" shapeId="0">
      <text>
        <r>
          <rPr>
            <b/>
            <sz val="12"/>
            <color indexed="81"/>
            <rFont val="Tahoma"/>
            <family val="2"/>
          </rPr>
          <t>Área ou setor responsável pela Atividade ou Projeto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14"/>
            <color indexed="81"/>
            <rFont val="Calibri Light"/>
            <family val="2"/>
            <scheme val="major"/>
          </rPr>
          <t>P= Projeto                                         A= Atividade 
PE= Projeto Específico</t>
        </r>
      </text>
    </comment>
    <comment ref="C8" authorId="0" shapeId="0">
      <text>
        <r>
          <rPr>
            <b/>
            <sz val="13"/>
            <color indexed="81"/>
            <rFont val="Tahoma"/>
            <family val="2"/>
          </rPr>
          <t>Para os CAU Básicos, quando houver utilização do Fundo de Apoio selecionar com o X</t>
        </r>
      </text>
    </comment>
    <comment ref="D8" authorId="0" shapeId="0">
      <text>
        <r>
          <rPr>
            <b/>
            <sz val="13"/>
            <color indexed="81"/>
            <rFont val="Tahoma"/>
            <family val="2"/>
          </rPr>
          <t>Nome do Projeto ou Atividade do Plano de Ação 2020, conforme descritivo no Anexo 1.4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E8" authorId="0" shapeId="0">
      <text>
        <r>
          <rPr>
            <b/>
            <sz val="13"/>
            <color indexed="81"/>
            <rFont val="Tahoma"/>
            <family val="2"/>
          </rPr>
          <t xml:space="preserve">
É a motivação geral e a síntese dos efeitos que se deseja produzir.</t>
        </r>
        <r>
          <rPr>
            <sz val="13"/>
            <color indexed="81"/>
            <rFont val="Tahoma"/>
            <family val="2"/>
          </rPr>
          <t xml:space="preserve">
</t>
        </r>
      </text>
    </comment>
    <comment ref="F8" authorId="0" shapeId="0">
      <text>
        <r>
          <rPr>
            <b/>
            <sz val="13"/>
            <color indexed="81"/>
            <rFont val="Tahoma"/>
            <family val="2"/>
          </rPr>
          <t xml:space="preserve">Selecionar uma das opções nas células abaixo que estão de acordo com os objetivos estratégicos do Mapa Estratégico no âmbito das pespectivas de </t>
        </r>
        <r>
          <rPr>
            <b/>
            <sz val="13"/>
            <color indexed="10"/>
            <rFont val="Tahoma"/>
            <family val="2"/>
          </rPr>
          <t>Processos Internos, Alavancadores e Pessoas e Infraestrutura.</t>
        </r>
        <r>
          <rPr>
            <b/>
            <sz val="13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G8" authorId="0" shapeId="0">
      <text>
        <r>
          <rPr>
            <b/>
            <sz val="13"/>
            <color indexed="81"/>
            <rFont val="Tahoma"/>
            <family val="2"/>
          </rPr>
          <t>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2020</t>
        </r>
      </text>
    </comment>
    <comment ref="H8" authorId="0" shapeId="0">
      <text>
        <r>
          <rPr>
            <b/>
            <sz val="12"/>
            <color indexed="81"/>
            <rFont val="Tahoma"/>
            <family val="2"/>
          </rPr>
          <t xml:space="preserve">São os efeitos que devem ser produzidos com a execução do projeto, dentro do seu horizonte do tempo. Refletem o objetivo geral do projeto e representam o seu desdobramento em metas mensuráveis. Resultado = Transformação + Indicador + Meta + Prazo, conforme descritivo no Anexo 1.4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I8" authorId="0" shapeId="0">
      <text>
        <r>
          <rPr>
            <b/>
            <sz val="13"/>
            <color indexed="81"/>
            <rFont val="Tahoma"/>
            <family val="2"/>
          </rPr>
          <t xml:space="preserve">Os valores devem ser iguais do Plano de Ação da Programação 2019 aprovado. Caso tenha feito a Reprogramação 2019 considerar os valores aprovados da Reprogramação 2019. 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J8" authorId="0" shapeId="0">
      <text>
        <r>
          <rPr>
            <b/>
            <sz val="13"/>
            <color indexed="81"/>
            <rFont val="Tahoma"/>
            <family val="2"/>
          </rPr>
          <t>Valores  dos Projetos/Atividades do Plano de Ação 2020, conforme descritivo no Anexo 1.4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K8" authorId="1" shapeId="0">
      <text>
        <r>
          <rPr>
            <b/>
            <sz val="13"/>
            <color indexed="81"/>
            <rFont val="Tahoma"/>
            <family val="2"/>
          </rPr>
          <t>Para os CAU Básicos : Valores do Fundo de Apoio distribuídos por Projeto/Atividade. Vale a ressalva que a Atividade do CSC deve ser pago com o Fundo de Apoio.</t>
        </r>
      </text>
    </comment>
    <comment ref="L8" authorId="2" shapeId="0">
      <text>
        <r>
          <rPr>
            <b/>
            <sz val="15"/>
            <color indexed="81"/>
            <rFont val="Segoe UI"/>
            <family val="2"/>
          </rPr>
          <t>Não considerar o valor da despesa de capital no cálculo do percentual.</t>
        </r>
      </text>
    </comment>
  </commentList>
</comments>
</file>

<file path=xl/comments3.xml><?xml version="1.0" encoding="utf-8"?>
<comments xmlns="http://schemas.openxmlformats.org/spreadsheetml/2006/main">
  <authors>
    <author>Gustavo Milhomem Brito Menezes</author>
    <author>Tania Mara Chaves Daldegan</author>
    <author>Geral</author>
  </authors>
  <commentList>
    <comment ref="B7" authorId="0" shapeId="0">
      <text>
        <r>
          <rPr>
            <b/>
            <sz val="11"/>
            <color indexed="81"/>
            <rFont val="Tahoma"/>
            <family val="2"/>
          </rPr>
          <t>Vinculada as Receitas de Arrecadação do Anexo 1.1 - Usos e Fonte excluídos os valores das anuidades de exercícios anteriores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Apenas para os Cau Básicos. O valor total deve ser igual do que consta nas Diretrizes da Programação 2020.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" authorId="1" shapeId="0">
      <text>
        <r>
          <rPr>
            <b/>
            <sz val="14"/>
            <color indexed="81"/>
            <rFont val="Tahoma"/>
            <family val="2"/>
          </rPr>
          <t>Detalhar o valor no campo das justificativas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= Receita de Arrecadação + Recurso do Fundo de Apoio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Vinculada as Receitas de Arrecadação do Anexo 1.1 - Usos e Fontes</t>
        </r>
      </text>
    </comment>
    <comment ref="B11" authorId="0" shapeId="0">
      <text>
        <r>
          <rPr>
            <b/>
            <sz val="9"/>
            <color indexed="81"/>
            <rFont val="Tahoma"/>
            <family val="2"/>
          </rPr>
          <t>RAL= Receita de Arrecadação + Fundo de Apoio (apenas CAU Básicos) - Aportes ( CSC + FA)</t>
        </r>
      </text>
    </comment>
    <comment ref="F14" authorId="1" shapeId="0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5" authorId="1" shapeId="0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6" authorId="1" shapeId="0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1" shapeId="0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8" authorId="1" shapeId="0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9" authorId="1" shapeId="0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0" authorId="1" shapeId="0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1" authorId="1" shapeId="0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22" authorId="2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Capacitação  e Atendimento</t>
        </r>
      </text>
    </comment>
    <comment ref="F22" authorId="1" shapeId="0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3" authorId="1" shapeId="0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4" authorId="1" shapeId="0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5" authorId="1" shapeId="0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6" authorId="1" shapeId="0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7" authorId="1" shapeId="0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Gustavo Milhomem Brito Menezes</author>
    <author>Flavia Rios Costa</author>
    <author>Marcos Cristino de Oliveira</author>
    <author>Tania Mara Chaves Daldegan</author>
  </authors>
  <commentList>
    <comment ref="C8" authorId="0" shapeId="0">
      <text>
        <r>
          <rPr>
            <b/>
            <sz val="9"/>
            <color indexed="81"/>
            <rFont val="Tahoma"/>
            <family val="2"/>
          </rPr>
          <t xml:space="preserve">Os valores devem ser iguais do Plano de Ação da Programação 2019 aprovado. Caso tenha feito a Reprogramação 2019 considerar os valores aprovados da Reprogramação 2019. 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</rPr>
          <t xml:space="preserve"> Os valores das anuidades, RRT, Taxas e Multas devem ser iguais das Diretrizes 2020. </t>
        </r>
      </text>
    </comment>
    <comment ref="A14" authorId="1" shapeId="0">
      <text>
        <r>
          <rPr>
            <b/>
            <sz val="10"/>
            <color indexed="81"/>
            <rFont val="Tahoma"/>
            <family val="2"/>
          </rPr>
          <t>Somar os valores do exercício atual e exercícios anteriores.</t>
        </r>
      </text>
    </comment>
    <comment ref="A17" authorId="1" shapeId="0">
      <text>
        <r>
          <rPr>
            <b/>
            <sz val="10"/>
            <color indexed="81"/>
            <rFont val="Tahoma"/>
            <family val="2"/>
          </rPr>
          <t>Somar os valores do exercício atual e exercícios anteriores.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1" shapeId="0">
      <text>
        <r>
          <rPr>
            <b/>
            <sz val="10"/>
            <color indexed="81"/>
            <rFont val="Tahoma"/>
            <family val="2"/>
          </rPr>
          <t>Considerar taxas e multas todos os valores relacionados com: Taxa Expediente RRT extemporâneo; Taxa Selic; Documento de fiscalização; Multa e mora de anuidades; Certidão de acervo técnico com atestado; Registro de direito autoral; Multa ética; Multa ausência na eleição, conforme informações do Siccau/Siscont.net.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11"/>
            <color indexed="81"/>
            <rFont val="Tahoma"/>
            <family val="2"/>
          </rPr>
          <t>Apenas o Valor do APORTE DO CSC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" authorId="2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As receitas estão maiores que as Despesas</t>
        </r>
      </text>
    </comment>
    <comment ref="E42" authorId="3" shapeId="0">
      <text>
        <r>
          <rPr>
            <b/>
            <sz val="9"/>
            <color indexed="81"/>
            <rFont val="Segoe UI"/>
            <family val="2"/>
          </rPr>
          <t>Valores conforme o anexo 1.3 da Programação (ou Reprogramação) 2018</t>
        </r>
      </text>
    </comment>
  </commentList>
</comments>
</file>

<file path=xl/comments5.xml><?xml version="1.0" encoding="utf-8"?>
<comments xmlns="http://schemas.openxmlformats.org/spreadsheetml/2006/main">
  <authors>
    <author>Tania Mara Chaves Daldegan</author>
  </authors>
  <commentList>
    <comment ref="M10" authorId="0" shapeId="0">
      <text>
        <r>
          <rPr>
            <b/>
            <sz val="9"/>
            <color indexed="81"/>
            <rFont val="Segoe UI"/>
            <family val="2"/>
          </rPr>
          <t>Aporte ao Fundo de apoio
Aporte o CSC
Patrocínio
Convênios</t>
        </r>
      </text>
    </comment>
  </commentList>
</comments>
</file>

<file path=xl/comments6.xml><?xml version="1.0" encoding="utf-8"?>
<comments xmlns="http://schemas.openxmlformats.org/spreadsheetml/2006/main">
  <authors>
    <author>Marcos Cristino de Oliveira</author>
  </authors>
  <commentList>
    <comment ref="I22" authorId="0" shapeId="0">
      <text>
        <r>
          <rPr>
            <b/>
            <sz val="16"/>
            <color indexed="81"/>
            <rFont val="Segoe UI"/>
            <family val="2"/>
          </rPr>
          <t>Marcos Cristino de Oliveira:</t>
        </r>
        <r>
          <rPr>
            <sz val="16"/>
            <color indexed="81"/>
            <rFont val="Segoe UI"/>
            <family val="2"/>
          </rPr>
          <t xml:space="preserve">
Ação sem custos?
Justificar. Resposta: Iam remanejar o membro que reside no interior, mas decidiram por mudar a data da reunião para o mesmo dia da reunião plenária e assim dividir despesas</t>
        </r>
      </text>
    </comment>
    <comment ref="I23" authorId="0" shapeId="0">
      <text>
        <r>
          <rPr>
            <b/>
            <sz val="18"/>
            <color indexed="81"/>
            <rFont val="Segoe UI"/>
            <family val="2"/>
          </rPr>
          <t>Marcos Cristino de Oliveira:</t>
        </r>
        <r>
          <rPr>
            <sz val="18"/>
            <color indexed="81"/>
            <rFont val="Segoe UI"/>
            <family val="2"/>
          </rPr>
          <t xml:space="preserve">
Ação sem custos?
Justificar. Resposta: Iam remanejar o membro que reside no interior, mas decidiram por mudar a data da reunião para o mesmo dia da reunião plenária e assim dividir despesas</t>
        </r>
      </text>
    </comment>
    <comment ref="M26" authorId="0" shapeId="0">
      <text>
        <r>
          <rPr>
            <b/>
            <sz val="18"/>
            <color indexed="81"/>
            <rFont val="Segoe UI"/>
            <family val="2"/>
          </rPr>
          <t>Marcos Cristino de Oliveira:</t>
        </r>
        <r>
          <rPr>
            <sz val="18"/>
            <color indexed="81"/>
            <rFont val="Segoe UI"/>
            <family val="2"/>
          </rPr>
          <t xml:space="preserve">
Identificar o elemento de despesa</t>
        </r>
      </text>
    </comment>
  </commentList>
</comments>
</file>

<file path=xl/comments7.xml><?xml version="1.0" encoding="utf-8"?>
<comments xmlns="http://schemas.openxmlformats.org/spreadsheetml/2006/main">
  <authors>
    <author>Marcos Cristino de Oliveira</author>
  </authors>
  <commentList>
    <comment ref="G13" authorId="0" shapeId="0">
      <text>
        <r>
          <rPr>
            <b/>
            <sz val="16"/>
            <color indexed="81"/>
            <rFont val="Segoe UI"/>
            <family val="2"/>
          </rPr>
          <t>Marcos Cristino de Oliveira:</t>
        </r>
        <r>
          <rPr>
            <sz val="16"/>
            <color indexed="81"/>
            <rFont val="Segoe UI"/>
            <family val="2"/>
          </rPr>
          <t xml:space="preserve">
Ajustado de acordo com o Quadro Geral</t>
        </r>
      </text>
    </comment>
    <comment ref="G14" authorId="0" shapeId="0">
      <text>
        <r>
          <rPr>
            <b/>
            <sz val="16"/>
            <color indexed="81"/>
            <rFont val="Segoe UI"/>
            <family val="2"/>
          </rPr>
          <t>Marcos Cristino de Oliveira:</t>
        </r>
        <r>
          <rPr>
            <sz val="16"/>
            <color indexed="81"/>
            <rFont val="Segoe UI"/>
            <family val="2"/>
          </rPr>
          <t xml:space="preserve">
Ajustado de acordo com o Quadro Geral</t>
        </r>
      </text>
    </comment>
  </commentList>
</comments>
</file>

<file path=xl/sharedStrings.xml><?xml version="1.0" encoding="utf-8"?>
<sst xmlns="http://schemas.openxmlformats.org/spreadsheetml/2006/main" count="2018" uniqueCount="581">
  <si>
    <t>Total</t>
  </si>
  <si>
    <t>Período de Execução</t>
  </si>
  <si>
    <t>Início</t>
  </si>
  <si>
    <t>Término</t>
  </si>
  <si>
    <t>Responsável pela Execução</t>
  </si>
  <si>
    <t>Pessoal</t>
  </si>
  <si>
    <t>Imobilizado</t>
  </si>
  <si>
    <t>Variação</t>
  </si>
  <si>
    <t>Legenda: Situação da Ação e Metas</t>
  </si>
  <si>
    <t>Nova</t>
  </si>
  <si>
    <t>Excluída</t>
  </si>
  <si>
    <t>Reformulada</t>
  </si>
  <si>
    <t>(1)</t>
  </si>
  <si>
    <t>(2)</t>
  </si>
  <si>
    <t>(3)</t>
  </si>
  <si>
    <t>(4)</t>
  </si>
  <si>
    <t>Inicial</t>
  </si>
  <si>
    <t>Unidade Responsável</t>
  </si>
  <si>
    <t>Denominação</t>
  </si>
  <si>
    <t>TOTAL</t>
  </si>
  <si>
    <t>Especificação</t>
  </si>
  <si>
    <t>I - FONTES</t>
  </si>
  <si>
    <t>1. Receitas Correntes</t>
  </si>
  <si>
    <t>1.1.1 Anuidades</t>
  </si>
  <si>
    <t>1.1.1.1 Pessoa Física</t>
  </si>
  <si>
    <t>1.1.1.2 Pessoa Jurídica</t>
  </si>
  <si>
    <t>1.2 Aplicações Financeiras</t>
  </si>
  <si>
    <t>1.4 Fundo de Apoio</t>
  </si>
  <si>
    <t>2 Receitas de Capital</t>
  </si>
  <si>
    <t>2.1 Saldos de Exercícios Anteriores (Superávit Financeiro)</t>
  </si>
  <si>
    <t xml:space="preserve"> I – TOTAL</t>
  </si>
  <si>
    <t>II. USOS</t>
  </si>
  <si>
    <t>II.1 Programação Operacional</t>
  </si>
  <si>
    <t>Projetos</t>
  </si>
  <si>
    <t>II.2 Aportes ao Fundo de Apoio</t>
  </si>
  <si>
    <t>II – TOTAL</t>
  </si>
  <si>
    <t>VARIAÇÃO (I-II)</t>
  </si>
  <si>
    <t>Valores em R$ 1,00</t>
  </si>
  <si>
    <t xml:space="preserve">Variação                                                      </t>
  </si>
  <si>
    <t>II.4 Reserva de Contingência</t>
  </si>
  <si>
    <t>Impactar significativamente o planejamento e a gestão do território</t>
  </si>
  <si>
    <t>Tornar a fiscalização um vetor de melhoria do exercício da Arquitetura e Urbanismo</t>
  </si>
  <si>
    <t>Assegurar a eficácia no atendimento e no relacionamento com os arquitetos e urbanistas e a sociedade</t>
  </si>
  <si>
    <t>Estimular o conhecimento, o uso de processos criativos e a difusão das melhores práticas em Arquitetura e Urbanismo</t>
  </si>
  <si>
    <t>Garantir a participação dos arquitetos e urbanistas no planejamento territorial e na gestão urbana</t>
  </si>
  <si>
    <t>Estimular a produção da arquitetura e urbanismo como política de Estado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</si>
  <si>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</si>
  <si>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</si>
  <si>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</si>
  <si>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</si>
  <si>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</si>
  <si>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</si>
  <si>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</si>
  <si>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</si>
  <si>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Indicadores Institucionais e de Resultado (agrupados por objetivo estratégico) - Metas</t>
  </si>
  <si>
    <t>Objetivo Estratégico Principal</t>
  </si>
  <si>
    <t>FP</t>
  </si>
  <si>
    <t xml:space="preserve">A custear com Recursos do Fundo de Apoio (R$) </t>
  </si>
  <si>
    <t>Denominação (Projeto/Atividade)</t>
  </si>
  <si>
    <t>Material de Consumo</t>
  </si>
  <si>
    <t>Serviços de Terceiros</t>
  </si>
  <si>
    <t>Encargos Diversos</t>
  </si>
  <si>
    <t>Soma</t>
  </si>
  <si>
    <t>% Part.</t>
  </si>
  <si>
    <t>Diárias</t>
  </si>
  <si>
    <t>Passagens</t>
  </si>
  <si>
    <t>Serviços Prestados</t>
  </si>
  <si>
    <t>TOTAL GERAL</t>
  </si>
  <si>
    <t>BASE DE CÁLCULO</t>
  </si>
  <si>
    <t>APLICAÇÕES DE RECURSOS</t>
  </si>
  <si>
    <t xml:space="preserve">FOLHA DE PAGAMENTO </t>
  </si>
  <si>
    <t>2. Recursos do fundo de apoio (CAU Básico)</t>
  </si>
  <si>
    <t>Valor</t>
  </si>
  <si>
    <t xml:space="preserve">% </t>
  </si>
  <si>
    <t>Variação (%)</t>
  </si>
  <si>
    <t>LIMITES</t>
  </si>
  <si>
    <t xml:space="preserve">Objetivo Geral </t>
  </si>
  <si>
    <t>LEGENDA: P = PROJETO/ A = ATIVIDADE/ FP = FUNDO DE APOIO</t>
  </si>
  <si>
    <t>Orientação:  As células sinalizadas, em cinza, são fórmulas e não devem ser modificadas. Preencher apenas os campos em branco.</t>
  </si>
  <si>
    <t>1.1.3 Taxas e Multas</t>
  </si>
  <si>
    <t xml:space="preserve">Fórmula </t>
  </si>
  <si>
    <t xml:space="preserve">Periodicidade </t>
  </si>
  <si>
    <t>B- INDICADORES DE RESULTADO</t>
  </si>
  <si>
    <t>A- INDICADORES INSTITUCIONAIS</t>
  </si>
  <si>
    <t xml:space="preserve">II.3 Aporte ao CSC </t>
  </si>
  <si>
    <t>Atividades</t>
  </si>
  <si>
    <t>Orientação: As células em cinza estão vinculadas com fórmulas, não devem ser preenchidas.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</si>
  <si>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</si>
  <si>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</si>
  <si>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</si>
  <si>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</si>
  <si>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Unidade Organizacional:</t>
  </si>
  <si>
    <t>Pessoal e Encargos</t>
  </si>
  <si>
    <t>A. Pessoal e Encargos (Valores totais)</t>
  </si>
  <si>
    <t xml:space="preserve">Responsável Projeto/Atividade: </t>
  </si>
  <si>
    <t>Denominação do Projeto ou Atividade :</t>
  </si>
  <si>
    <t xml:space="preserve">Objetivo Estratégico Principal : </t>
  </si>
  <si>
    <t>% Utilização do Fundo de Apoio            (D = C/B *100)</t>
  </si>
  <si>
    <t xml:space="preserve">Part. % (E)           </t>
  </si>
  <si>
    <t>Valores                        (C=B-A)</t>
  </si>
  <si>
    <t xml:space="preserve">Resultados Esperados </t>
  </si>
  <si>
    <t>COMENTÁRIOS/JUSTIFICATIVAS :</t>
  </si>
  <si>
    <t>1. QUADRO GERAL</t>
  </si>
  <si>
    <t xml:space="preserve">2. AVALIAÇÃO GERAL </t>
  </si>
  <si>
    <t>Fundo de Apoio</t>
  </si>
  <si>
    <t>% Utilização do Fundo de Apoio</t>
  </si>
  <si>
    <t>Resultado</t>
  </si>
  <si>
    <t>1.1.3 RRT</t>
  </si>
  <si>
    <t xml:space="preserve">BASE DE CÁLCULO </t>
  </si>
  <si>
    <t xml:space="preserve">Variação </t>
  </si>
  <si>
    <t>Objetivo Geral :</t>
  </si>
  <si>
    <t xml:space="preserve">Resultado esperado do Projeto/Atividade: </t>
  </si>
  <si>
    <t>Nº</t>
  </si>
  <si>
    <t>Descrição da Ação</t>
  </si>
  <si>
    <t>Custo da Ação (R$)</t>
  </si>
  <si>
    <t>% Partic.
(G)</t>
  </si>
  <si>
    <t>Metas Físicas</t>
  </si>
  <si>
    <t>Obs.: Os Indicadores devem ser vinculados aos objetivos estratégicos priorizados no Mapa Estratégico do CAU/UF, ou seja, os indicadores dos objetivos estratégicos escolhidos no Mapa Estratégico devem ser priorizados.</t>
  </si>
  <si>
    <t>%
(D=C/A)</t>
  </si>
  <si>
    <t>% 
(F = E/A *100)</t>
  </si>
  <si>
    <t xml:space="preserve">CATEGORIA ECONÔMICA </t>
  </si>
  <si>
    <t>Corrente</t>
  </si>
  <si>
    <t xml:space="preserve">Capital </t>
  </si>
  <si>
    <t xml:space="preserve">FONTES </t>
  </si>
  <si>
    <t>USOS</t>
  </si>
  <si>
    <t>Variação % 
(C=B/A)</t>
  </si>
  <si>
    <t>5.  Receita da Arrecadação Líquida (RAL = 3 - 4)</t>
  </si>
  <si>
    <t>Anual</t>
  </si>
  <si>
    <t>Trimestral</t>
  </si>
  <si>
    <r>
      <t xml:space="preserve">Índice de presença profissional </t>
    </r>
    <r>
      <rPr>
        <b/>
        <sz val="20"/>
        <color theme="8" tint="-0.499984740745262"/>
        <rFont val="Calibri"/>
        <family val="2"/>
        <scheme val="minor"/>
      </rPr>
      <t>nas obras</t>
    </r>
    <r>
      <rPr>
        <sz val="20"/>
        <rFont val="Calibri"/>
        <family val="2"/>
        <scheme val="minor"/>
      </rPr>
      <t xml:space="preserve"> e  serviços fiscalizados  (%) - </t>
    </r>
    <r>
      <rPr>
        <b/>
        <sz val="20"/>
        <rFont val="Calibri"/>
        <family val="2"/>
        <scheme val="minor"/>
      </rPr>
      <t>(CAU/UF)</t>
    </r>
  </si>
  <si>
    <t>Valores
 (C=B-A)</t>
  </si>
  <si>
    <t>%        
(D=C/B)</t>
  </si>
  <si>
    <t>1.1.1.1.2 Anuidade Exercícios anteriores</t>
  </si>
  <si>
    <t>1.1.1.2.2 Anuidade Exercícios anteriores</t>
  </si>
  <si>
    <t>ANEXOS</t>
  </si>
  <si>
    <t>Valor da Programação 2019 (R$)</t>
  </si>
  <si>
    <t>Programação 2019</t>
  </si>
  <si>
    <t>Variação % 
(F=E/D)</t>
  </si>
  <si>
    <t>1) Não alterar cores e formatações no modelo.</t>
  </si>
  <si>
    <t>2) Não alterar fórmula.</t>
  </si>
  <si>
    <t>4) Atentar as orientações em amarelo em cada aba da Planilha .</t>
  </si>
  <si>
    <t>5) No preenchimento das células utilizar letras maiúsculas apenas em siglas e no começo da frase.</t>
  </si>
  <si>
    <t>6) Utilizar mesma fonte de texto em todas células (Optamos pela fonte CALIBRI tamanho 12).</t>
  </si>
  <si>
    <t>OBS: No item da categoria dos "Usos Correntes", deverão ser considerados os valores dos Aportes ao Fundo de Apoio, ao CSC , e à Reserva de Contingência.</t>
  </si>
  <si>
    <r>
      <t xml:space="preserve"> Despesas com Pessoal </t>
    </r>
    <r>
      <rPr>
        <b/>
        <sz val="14"/>
        <color indexed="57"/>
        <rFont val="Calibri"/>
        <family val="2"/>
      </rPr>
      <t>(máximo de 55% sobre as Receitas Correntes. Não considerar o valor total das rescisões contratuais, auxílio alimentação, auxílio transporte, plano de saúde e demais benefícios)</t>
    </r>
  </si>
  <si>
    <r>
      <t xml:space="preserve">Atendimento
</t>
    </r>
    <r>
      <rPr>
        <b/>
        <sz val="14"/>
        <color indexed="21"/>
        <rFont val="Calibri"/>
        <family val="2"/>
      </rPr>
      <t>(mínimo de 10 % do total da RAL)</t>
    </r>
  </si>
  <si>
    <r>
      <t>Capacitação</t>
    </r>
    <r>
      <rPr>
        <b/>
        <sz val="14"/>
        <color indexed="10"/>
        <rFont val="Calibri"/>
        <family val="2"/>
      </rPr>
      <t xml:space="preserve"> </t>
    </r>
    <r>
      <rPr>
        <b/>
        <sz val="14"/>
        <color indexed="57"/>
        <rFont val="Calibri"/>
        <family val="2"/>
      </rPr>
      <t xml:space="preserve">(mínimo de 2%  e máximo de 4%  do valor total das respectivas folhas de pagamento -salários, encargos e benefícios)                  </t>
    </r>
  </si>
  <si>
    <r>
      <t xml:space="preserve">Comunicação
</t>
    </r>
    <r>
      <rPr>
        <b/>
        <sz val="14"/>
        <color indexed="21"/>
        <rFont val="Calibri"/>
        <family val="2"/>
      </rPr>
      <t xml:space="preserve">(mínimo de 3% do total da RAL)             </t>
    </r>
    <r>
      <rPr>
        <b/>
        <sz val="14"/>
        <color indexed="57"/>
        <rFont val="Calibri"/>
        <family val="2"/>
      </rPr>
      <t xml:space="preserve">                                                                                </t>
    </r>
  </si>
  <si>
    <r>
      <t xml:space="preserve">Patrocínio
</t>
    </r>
    <r>
      <rPr>
        <b/>
        <sz val="14"/>
        <color indexed="21"/>
        <rFont val="Calibri"/>
        <family val="2"/>
      </rPr>
      <t xml:space="preserve">(máximo de 5% do total da RAL)   </t>
    </r>
    <r>
      <rPr>
        <b/>
        <sz val="14"/>
        <color indexed="10"/>
        <rFont val="Calibri"/>
        <family val="2"/>
      </rPr>
      <t xml:space="preserve">      </t>
    </r>
    <r>
      <rPr>
        <b/>
        <sz val="14"/>
        <color indexed="8"/>
        <rFont val="Calibri"/>
        <family val="2"/>
      </rPr>
      <t xml:space="preserve">                                                                            </t>
    </r>
  </si>
  <si>
    <r>
      <t xml:space="preserve">Assistência Técnica                            </t>
    </r>
    <r>
      <rPr>
        <b/>
        <sz val="14"/>
        <color rgb="FF008080"/>
        <rFont val="Calibri"/>
        <family val="2"/>
        <scheme val="minor"/>
      </rPr>
      <t xml:space="preserve">(mínimo de 2% do total da RAL) </t>
    </r>
    <r>
      <rPr>
        <b/>
        <sz val="14"/>
        <color theme="1"/>
        <rFont val="Calibri"/>
        <family val="2"/>
        <scheme val="minor"/>
      </rPr>
      <t xml:space="preserve">   </t>
    </r>
  </si>
  <si>
    <r>
      <t xml:space="preserve">Reserva de Contingência                          </t>
    </r>
    <r>
      <rPr>
        <b/>
        <sz val="14"/>
        <color indexed="21"/>
        <rFont val="Calibri"/>
        <family val="2"/>
      </rPr>
      <t xml:space="preserve">(até 2 % do total da RAL)              </t>
    </r>
  </si>
  <si>
    <t>1.1 Receitas de Arrecadação Total</t>
  </si>
  <si>
    <r>
      <t xml:space="preserve">Objetivos Estratégicos Locais             </t>
    </r>
    <r>
      <rPr>
        <b/>
        <sz val="14"/>
        <color indexed="21"/>
        <rFont val="Calibri"/>
        <family val="2"/>
      </rPr>
      <t xml:space="preserve"> </t>
    </r>
    <r>
      <rPr>
        <b/>
        <sz val="14"/>
        <color rgb="FFFF0000"/>
        <rFont val="Calibri"/>
        <family val="2"/>
      </rPr>
      <t xml:space="preserve"> </t>
    </r>
    <r>
      <rPr>
        <b/>
        <sz val="14"/>
        <color rgb="FF008080"/>
        <rFont val="Calibri"/>
        <family val="2"/>
      </rPr>
      <t xml:space="preserve">(mínimo de 6 % do total da RAL) </t>
    </r>
    <r>
      <rPr>
        <b/>
        <sz val="14"/>
        <color indexed="21"/>
        <rFont val="Calibri"/>
        <family val="2"/>
      </rPr>
      <t xml:space="preserve">                        </t>
    </r>
  </si>
  <si>
    <t>Orientações para preenchimento do Modelo do Plano de Ação 2020</t>
  </si>
  <si>
    <t>3) Usar o arquivo da Programação 2020 enviado pela Assplan.</t>
  </si>
  <si>
    <t>Meta 2019</t>
  </si>
  <si>
    <r>
      <t xml:space="preserve"> Índice de municípios que possuem Plano Diretor, em conformidade com os critérios da legislação
 </t>
    </r>
    <r>
      <rPr>
        <b/>
        <sz val="20"/>
        <rFont val="Calibri"/>
        <family val="2"/>
        <scheme val="minor"/>
      </rPr>
      <t xml:space="preserve">(CAU/UF)
</t>
    </r>
  </si>
  <si>
    <t xml:space="preserve">número de municípios do Estado que possuem instrumentos de planejamento urbano </t>
  </si>
  <si>
    <t>x 100</t>
  </si>
  <si>
    <t>total de municípios do Estado</t>
  </si>
  <si>
    <r>
      <t xml:space="preserve">Índice da capacidade de fiscalização (%) - </t>
    </r>
    <r>
      <rPr>
        <b/>
        <sz val="20"/>
        <rFont val="Calibri"/>
        <family val="2"/>
        <scheme val="minor"/>
      </rPr>
      <t xml:space="preserve">(CAU/UF)   </t>
    </r>
  </si>
  <si>
    <t>quantidade de serviços fiscalizados pelo CAU/UF no Ano</t>
  </si>
  <si>
    <t>número de serviços propostos a serem fiscalizados</t>
  </si>
  <si>
    <t>quantidade de presença profissional com RRT</t>
  </si>
  <si>
    <t>quantidade de serviços fiscalizados pelo CAU/UF</t>
  </si>
  <si>
    <r>
      <t xml:space="preserve">Índice de RRT por mês por profissional ativo  - </t>
    </r>
    <r>
      <rPr>
        <b/>
        <sz val="20"/>
        <rFont val="Calibri"/>
        <family val="2"/>
        <scheme val="minor"/>
      </rPr>
      <t xml:space="preserve">(CAU/UF)    </t>
    </r>
  </si>
  <si>
    <r>
      <t xml:space="preserve">número total de RRT registrados </t>
    </r>
    <r>
      <rPr>
        <b/>
        <sz val="20"/>
        <rFont val="Calibri"/>
        <family val="2"/>
        <scheme val="minor"/>
      </rPr>
      <t xml:space="preserve">por mês </t>
    </r>
  </si>
  <si>
    <t>Mensal</t>
  </si>
  <si>
    <t>número total de profissionais ativos no Estado</t>
  </si>
  <si>
    <r>
      <t>Índice de capacidade de atendimento de denúncias  (%) -</t>
    </r>
    <r>
      <rPr>
        <b/>
        <sz val="20"/>
        <rFont val="Calibri"/>
        <family val="2"/>
        <scheme val="minor"/>
      </rPr>
      <t xml:space="preserve"> (CAU/UF)</t>
    </r>
    <r>
      <rPr>
        <sz val="20"/>
        <rFont val="Calibri"/>
        <family val="2"/>
        <scheme val="minor"/>
      </rPr>
      <t xml:space="preserve">
</t>
    </r>
  </si>
  <si>
    <t>quantidade de denúncias atendidas pelo CAU/UF</t>
  </si>
  <si>
    <t>X 100</t>
  </si>
  <si>
    <t>número de denúncias recebidas pelo CAU/UF</t>
  </si>
  <si>
    <r>
      <t>Índice de orientações gerais  realizadas  (%) -</t>
    </r>
    <r>
      <rPr>
        <b/>
        <sz val="20"/>
        <rFont val="Calibri"/>
        <family val="2"/>
        <scheme val="minor"/>
      </rPr>
      <t xml:space="preserve"> (CAU/UF)</t>
    </r>
    <r>
      <rPr>
        <sz val="20"/>
        <rFont val="Calibri"/>
        <family val="2"/>
        <scheme val="minor"/>
      </rPr>
      <t xml:space="preserve">
</t>
    </r>
  </si>
  <si>
    <t>quantidade de orientações gerais realizadas pelo CAU/UF</t>
  </si>
  <si>
    <t>Semestral</t>
  </si>
  <si>
    <t>número de orientações propostas a serem realizadas</t>
  </si>
  <si>
    <r>
      <t xml:space="preserve">Índice de eficiência na conclusão de processos de fiscalização  (%) - </t>
    </r>
    <r>
      <rPr>
        <b/>
        <sz val="20"/>
        <rFont val="Calibri"/>
        <family val="2"/>
        <scheme val="minor"/>
      </rPr>
      <t>(CAU/UF)</t>
    </r>
  </si>
  <si>
    <t>número de processos de fiscalização concluídos em um ano</t>
  </si>
  <si>
    <t xml:space="preserve"> número total de processos de fiscalização</t>
  </si>
  <si>
    <r>
      <t xml:space="preserve">Índice de atendimento (%) - </t>
    </r>
    <r>
      <rPr>
        <b/>
        <sz val="20"/>
        <rFont val="Calibri"/>
        <family val="2"/>
        <scheme val="minor"/>
      </rPr>
      <t>(CAU/UF)</t>
    </r>
  </si>
  <si>
    <t>número de solicitações tratadas em até 30 dias</t>
  </si>
  <si>
    <t>número de solicitações</t>
  </si>
  <si>
    <r>
      <t xml:space="preserve">Índice de satisfação com a solução da demanda (%) - </t>
    </r>
    <r>
      <rPr>
        <b/>
        <sz val="20"/>
        <rFont val="Calibri"/>
        <family val="2"/>
        <scheme val="minor"/>
      </rPr>
      <t>(CAU/UF)</t>
    </r>
  </si>
  <si>
    <t>número de usuários satisfeitos com a solução da demanda</t>
  </si>
  <si>
    <t>número de usuários que responderam a pesquisa</t>
  </si>
  <si>
    <r>
      <t xml:space="preserve">Índice da intenção (plano) de investimento em patrocínios (%)- </t>
    </r>
    <r>
      <rPr>
        <b/>
        <sz val="20"/>
        <rFont val="Calibri"/>
        <family val="2"/>
        <scheme val="minor"/>
      </rPr>
      <t>(CAU/UF)</t>
    </r>
  </si>
  <si>
    <t>valor orçamentário destinado a patrocínios</t>
  </si>
  <si>
    <t>orçamento total</t>
  </si>
  <si>
    <r>
      <t xml:space="preserve">Índice da capacidade de execução dos investimentos em patrocínios  (%) - </t>
    </r>
    <r>
      <rPr>
        <b/>
        <sz val="20"/>
        <rFont val="Calibri"/>
        <family val="2"/>
        <scheme val="minor"/>
      </rPr>
      <t xml:space="preserve">(CAU/UF) </t>
    </r>
  </si>
  <si>
    <t>valor orçamentário investido (executado) em patrocínios</t>
  </si>
  <si>
    <r>
      <t>Índice de presença profissional em órgãos de planejamento e gestão urbana (%) -</t>
    </r>
    <r>
      <rPr>
        <b/>
        <sz val="20"/>
        <color theme="1"/>
        <rFont val="Calibri"/>
        <family val="2"/>
        <scheme val="minor"/>
      </rPr>
      <t xml:space="preserve"> (CAU/UF)
</t>
    </r>
  </si>
  <si>
    <t>número de órgãos públicos nos municípios do Estado que atuam em planejamento territorial e gestão urbana que utilizem pelo menos um arquiteto e urbanista (interno ou externo)</t>
  </si>
  <si>
    <t>número de órgãos públicos nos municípios do Estado que atuam em planejamento territorial e gestão urbana</t>
  </si>
  <si>
    <r>
      <t xml:space="preserve">Índice de municípios que possuem um órgão de planejamento urbano (%) - </t>
    </r>
    <r>
      <rPr>
        <b/>
        <sz val="20"/>
        <color theme="1"/>
        <rFont val="Calibri"/>
        <family val="2"/>
        <scheme val="minor"/>
      </rPr>
      <t>(CAU/UF)</t>
    </r>
  </si>
  <si>
    <t>número de municípios no Estado que possuem um órgão de planejamento urbano</t>
  </si>
  <si>
    <t>total de municípios no Estado</t>
  </si>
  <si>
    <r>
      <t xml:space="preserve">Participação do CAU na elaboração ou regulamentação da Lei da Asssitência Técnica Gratuita (Lei nº 11.888/08) (%) - </t>
    </r>
    <r>
      <rPr>
        <b/>
        <sz val="20"/>
        <rFont val="Calibri"/>
        <family val="2"/>
        <scheme val="minor"/>
      </rPr>
      <t xml:space="preserve">(CAU/UF)
</t>
    </r>
  </si>
  <si>
    <t xml:space="preserve">número de municípios no Estado que aplicam a Lei de Assistência Técnica </t>
  </si>
  <si>
    <t>x100</t>
  </si>
  <si>
    <t>total de municípios do Estado (= total da amostragem definida)</t>
  </si>
  <si>
    <r>
      <t xml:space="preserve">Obrigatoriedade de planos urbanísticos para as cidades (%) - </t>
    </r>
    <r>
      <rPr>
        <b/>
        <sz val="20"/>
        <rFont val="Calibri"/>
        <family val="2"/>
        <scheme val="minor"/>
      </rPr>
      <t>(CAU/UF)</t>
    </r>
  </si>
  <si>
    <t xml:space="preserve">número de planos diretores que contemplam planos urbanísticos nos municípios do Estado
</t>
  </si>
  <si>
    <t>número de planos diretores nos municípios do Estado</t>
  </si>
  <si>
    <t>Quantidade de acessos qualificados (visitantes únicos) a página do CAU</t>
  </si>
  <si>
    <t xml:space="preserve">número de inserções na mídia em geral onde o CAU foi citado
</t>
  </si>
  <si>
    <t>total de notícias sobre questões de Arquitetura e Urbanismo</t>
  </si>
  <si>
    <t xml:space="preserve">número de inserções positivas do CAU na mídia 
</t>
  </si>
  <si>
    <t>total de inserções do CAU na mídia</t>
  </si>
  <si>
    <r>
      <t xml:space="preserve">Índice de escolas que possuem disciplinas com conteúdo sobre a ética profissional (%) - </t>
    </r>
    <r>
      <rPr>
        <b/>
        <sz val="20"/>
        <rFont val="Calibri"/>
        <family val="2"/>
        <charset val="1"/>
      </rPr>
      <t xml:space="preserve">(CAU/UF)
</t>
    </r>
  </si>
  <si>
    <t xml:space="preserve">número de escolas do Estado com a disciplina de ética profissional na grade curricular
</t>
  </si>
  <si>
    <t>número total de escolas do Estado</t>
  </si>
  <si>
    <t xml:space="preserve">número de processos éticos concluídos em um ano
</t>
  </si>
  <si>
    <t>número total de processos éticos</t>
  </si>
  <si>
    <r>
      <t xml:space="preserve">Índice de RRT por população (1.000 habitantes)  </t>
    </r>
    <r>
      <rPr>
        <b/>
        <sz val="20"/>
        <rFont val="Calibri"/>
        <family val="2"/>
        <scheme val="minor"/>
      </rPr>
      <t>- (CAU/UF)</t>
    </r>
  </si>
  <si>
    <t>número total de RRT do Estado
__________________________________
população do Estado (1000 habitantes)</t>
  </si>
  <si>
    <r>
      <t xml:space="preserve">Índice de RRT mínimas  - </t>
    </r>
    <r>
      <rPr>
        <b/>
        <sz val="20"/>
        <rFont val="Calibri"/>
        <family val="2"/>
        <scheme val="minor"/>
      </rPr>
      <t>(CAU/UF)</t>
    </r>
  </si>
  <si>
    <t>RRT mínima
___________________________
total de RRT no Estado</t>
  </si>
  <si>
    <r>
      <t xml:space="preserve">Índice de receita por arquiteto e urbanista  - </t>
    </r>
    <r>
      <rPr>
        <b/>
        <sz val="20"/>
        <rFont val="Calibri"/>
        <family val="2"/>
        <scheme val="minor"/>
      </rPr>
      <t xml:space="preserve">(CAU/UF) </t>
    </r>
  </si>
  <si>
    <t xml:space="preserve">receita corrente do Estado
</t>
  </si>
  <si>
    <t>Semestral e anual</t>
  </si>
  <si>
    <t>arquiteto e urbanista ativo no Estado</t>
  </si>
  <si>
    <r>
      <t xml:space="preserve">Relação receita/custo de pessoal (%) - </t>
    </r>
    <r>
      <rPr>
        <b/>
        <sz val="20"/>
        <rFont val="Calibri"/>
        <family val="2"/>
        <scheme val="minor"/>
      </rPr>
      <t>(CAU/UF)</t>
    </r>
  </si>
  <si>
    <t xml:space="preserve">custo de pessoal do Estado
</t>
  </si>
  <si>
    <t>receita corrente do Estado</t>
  </si>
  <si>
    <t xml:space="preserve">ativo circulante
</t>
  </si>
  <si>
    <t>passivo circulante</t>
  </si>
  <si>
    <r>
      <t xml:space="preserve">Índice de inadimplência pessoa física (%) - </t>
    </r>
    <r>
      <rPr>
        <b/>
        <sz val="20"/>
        <rFont val="Calibri"/>
        <family val="2"/>
        <scheme val="minor"/>
      </rPr>
      <t>(CAU/UF)</t>
    </r>
  </si>
  <si>
    <t xml:space="preserve">total de profissionais inadimplentes
</t>
  </si>
  <si>
    <t>total de profissionais ativos</t>
  </si>
  <si>
    <r>
      <t xml:space="preserve">Índice de inadimplência pessoa jurídica (%) - </t>
    </r>
    <r>
      <rPr>
        <b/>
        <sz val="20"/>
        <rFont val="Calibri"/>
        <family val="2"/>
        <scheme val="minor"/>
      </rPr>
      <t>(CAU/UF)</t>
    </r>
  </si>
  <si>
    <t>total de empresas inadimplentes</t>
  </si>
  <si>
    <t>total de empresas ativas</t>
  </si>
  <si>
    <t xml:space="preserve">número de processos críticos aprimorados e/ou inovados
</t>
  </si>
  <si>
    <t>total de processos críticos</t>
  </si>
  <si>
    <t>horas totais de treinamento</t>
  </si>
  <si>
    <t>número total de colaboradores e dirigentes</t>
  </si>
  <si>
    <t xml:space="preserve">número de colaboradores e dirigentes do CAU engajados de acordo com pesquisa de engajamento
</t>
  </si>
  <si>
    <t>número de colaboradores e dirigentes do CAU</t>
  </si>
  <si>
    <t xml:space="preserve">número de usuários internos satisfeitos com a tecnologia
</t>
  </si>
  <si>
    <t>total de usuários internos que participaram da pesquisa</t>
  </si>
  <si>
    <t xml:space="preserve">número de usuários externos satisfeitos com a tecnologia
</t>
  </si>
  <si>
    <t>total de usuários externos que participaram da pesquisa</t>
  </si>
  <si>
    <r>
      <t xml:space="preserve">Orientação:  Selecionar os objetivos estratégicos prioritários em âmbito local trabalhados em 2020. Os objetivos estratégicos em âmbito nacional </t>
    </r>
    <r>
      <rPr>
        <sz val="12"/>
        <color rgb="FFFF0000"/>
        <rFont val="Calibri"/>
        <family val="2"/>
        <scheme val="minor"/>
      </rPr>
      <t>(Fiscalização, Comunicação e AU como Política de Estado )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devem ser obrigatoriamente trabalhados.</t>
    </r>
  </si>
  <si>
    <t>Meta 2020</t>
  </si>
  <si>
    <t xml:space="preserve">Acessos à página do CAU (Qtd.) - (CAU/UF) </t>
  </si>
  <si>
    <t xml:space="preserve">Índice de presença na mídia como um todo (%) - (CAU/UF) </t>
  </si>
  <si>
    <t xml:space="preserve">Índice de inserções positivas na mídia (%) - (CAU/UF) </t>
  </si>
  <si>
    <t xml:space="preserve">Índice de eficiência na conclusão de processos éticos (%) -(CAU/UF) </t>
  </si>
  <si>
    <t xml:space="preserve">Índice de liquidez corrente (CAU/UF) </t>
  </si>
  <si>
    <t xml:space="preserve">Índice de processos aprimorados e/ou inovados (%) -(CAU/UF) </t>
  </si>
  <si>
    <t xml:space="preserve">Média de horas de treinamento por colaboradores e dirigentes (CAU/UF) </t>
  </si>
  <si>
    <t xml:space="preserve">Índice de engajamento dos colaboradores e dirigentes (%) - (CAU/UF) </t>
  </si>
  <si>
    <t xml:space="preserve">Índice de satisfação interna com a tecnologia utilizada (%) - (CAU/UF) </t>
  </si>
  <si>
    <t xml:space="preserve">Índice de satisfação externa com a tecnologia utilizada (%)- (CAU/UF) </t>
  </si>
  <si>
    <t>01 - Erradicação da pobreza</t>
  </si>
  <si>
    <t>05 - Igualdade de gênero</t>
  </si>
  <si>
    <t>08 - Trabalho decente e crescimento econômico</t>
  </si>
  <si>
    <t>10 - Redução das desigualdades</t>
  </si>
  <si>
    <t>11 - Cidades e comunidades sustentáveis</t>
  </si>
  <si>
    <t>14 - Vida na água</t>
  </si>
  <si>
    <t>16 - Paz, justiça e instituições eficazes</t>
  </si>
  <si>
    <t>17 - Parcerias e meios de implementação</t>
  </si>
  <si>
    <t>02 - Fome zero e agricultura sustentável</t>
  </si>
  <si>
    <t>03 - Saúde e bem-estar</t>
  </si>
  <si>
    <t>04 - Educação de qualidade</t>
  </si>
  <si>
    <t>06 - Água limpa e saneamento</t>
  </si>
  <si>
    <t>09 - Inovação infraestrutura</t>
  </si>
  <si>
    <t>12 - Consumo e produção responsáveis</t>
  </si>
  <si>
    <t>13 - Ação contra a mudança global do clima</t>
  </si>
  <si>
    <t>15 - Vida terrestre</t>
  </si>
  <si>
    <t>7) O valor da Programação 2019 deve ser igual ao valor APROVADO no Plano de Ação 2019 ou da Reprogramação 2019, ou seja, sem transposição.</t>
  </si>
  <si>
    <t>PLANO DE AÇÃO - PROGRAMAÇÃO 2020</t>
  </si>
  <si>
    <t>Programação 2019 (A)</t>
  </si>
  <si>
    <t>Programação 2020 (B)</t>
  </si>
  <si>
    <t>Anexo 1.1- Limites de Aplicação dos Recursos Estratégicos - Programação 2020</t>
  </si>
  <si>
    <t>Valor da Programação 2020 (R$)</t>
  </si>
  <si>
    <t>Programação 2020</t>
  </si>
  <si>
    <t>Programação 2019  (A)</t>
  </si>
  <si>
    <t>Programação 2020   (B)</t>
  </si>
  <si>
    <t>Anexo 1.2 - Demonstrativo de Usos e Fontes - Programação 2020</t>
  </si>
  <si>
    <t>Orientação:  Na proposta da Programação 2020, para as receitas de Arrecadação - anuidades, RRT, taxas e multas, devem ser considerados os valores constantes das Diretrizes da Programação 2020. As receitas de exercícios anteriores devem ser projetadas por cada CAU/UF.  As células sinalizadas, em cinza, são fórmulas e não devem ser modificadas. Verificar os comentários colocando o cursor na célula correspondente, no cabeçalho.</t>
  </si>
  <si>
    <t>RESUMO DA PROGRAMAÇÃO  2020 - POR CATEGORIA ECONÔMICA</t>
  </si>
  <si>
    <t>Programação 2019 (D)</t>
  </si>
  <si>
    <t>Programação 2020 (E)</t>
  </si>
  <si>
    <t xml:space="preserve">Correntes </t>
  </si>
  <si>
    <t>Capital</t>
  </si>
  <si>
    <t>I - Receitas</t>
  </si>
  <si>
    <t>II - Despesas</t>
  </si>
  <si>
    <t>Anexo 1.3- Aplicações por Projeto/Atividade - por Elemento de Despesa (Consolidado) - Programação 2020</t>
  </si>
  <si>
    <t>Anexo 1.4 - Quadro Descritivo de Ações e Metas do Plano de Ação - Programação 2020</t>
  </si>
  <si>
    <r>
      <t>07 - Energia limpa e acessível</t>
    </r>
    <r>
      <rPr>
        <sz val="20"/>
        <color theme="1"/>
        <rFont val="Arial"/>
        <family val="2"/>
      </rPr>
      <t> </t>
    </r>
  </si>
  <si>
    <t>Indicador Vinculado ( preenchimento opcional)</t>
  </si>
  <si>
    <t>Ações Estratégicas Prioritárias</t>
  </si>
  <si>
    <t>Programação 2019
(A)</t>
  </si>
  <si>
    <t>Programação 2020
(B)</t>
  </si>
  <si>
    <t>Elementos de despesa</t>
  </si>
  <si>
    <t>OBJETIVO ESTRATÉGICO</t>
  </si>
  <si>
    <t>CLASSE</t>
  </si>
  <si>
    <t xml:space="preserve"> AÇÃO ESTRATÉGICA PRIORITÁRIA</t>
  </si>
  <si>
    <t>DESCRIÇÃO</t>
  </si>
  <si>
    <t>Assegurar a eficácia no atendimento e no relacionamento com os Arquitetos e Urbanistas e a Sociedade</t>
  </si>
  <si>
    <t>Priorizada</t>
  </si>
  <si>
    <t xml:space="preserve"> Atendimento Eletrônico</t>
  </si>
  <si>
    <t>Uso de aplicativos e ferramentas de comunicação para prestar atendimento mais ágil e eficiente.</t>
  </si>
  <si>
    <t>Auto-Atendimento</t>
  </si>
  <si>
    <t>Realização de ações direcionadoras para e facilitadoras do auto-atendimento (tutoriais, manuais)</t>
  </si>
  <si>
    <t>Qualificação dos Canais de Atendimento</t>
  </si>
  <si>
    <t>Ações para melhorar o nível de qualidade do atendimento, em suas diversas modalidades: Presencial, Telefone, E-Mail e SICCAU e processos (Registro de PF e PJ, Atualização Cadastral, RRT)</t>
  </si>
  <si>
    <t>Ações Locais em Mídia</t>
  </si>
  <si>
    <t>Ações de comunicação realizadas a partir de inserções em mídias impressas (anúncios, editoriais, etc.) e redes sociais (facebook, instagram, etc.)., tratanto de temas relevantes para a realidade de cada UF.</t>
  </si>
  <si>
    <t>Ações Nacionais em Mídia</t>
  </si>
  <si>
    <t>Realização de Campanhas nacionais de comunicação (levando em conta eventuais diferenças regionais) em temas prioritários do CAU: ATHIS, Licitações, Ensino, Valorização da Profissão.</t>
  </si>
  <si>
    <t>Atualização do Portal da Transparência</t>
  </si>
  <si>
    <t>Ações para garantir que as informações constantes no Portal da Transparência estejam devidamente atualizadas.</t>
  </si>
  <si>
    <t>Estimular a produção da Arquitetura e Urbanismo como política de Estado</t>
  </si>
  <si>
    <t>Representação em Instâncias Públicas</t>
  </si>
  <si>
    <t>Ampliação da representação de Arquitetos e Urbanistas em Conselhos Públicos, tanto em nível estadual quanto municipal, para participar e conduzir as discussões.</t>
  </si>
  <si>
    <t>Câmaras Temáticas</t>
  </si>
  <si>
    <t>Estabelecimento e consolidação de câmaras temáticas para discussão e deliberação sobre temas prioritários do CAU: Acessibilidade, Patrimônio Histórico, Estudos Urbanos, etc.)</t>
  </si>
  <si>
    <t>Editais de Patrocínio</t>
  </si>
  <si>
    <t>Aplicação de recursos para viabilizar a realização de Seminários, Mostras de Arquitetura, Cursos, Oficinas, etc., a serem firmados tanto com Entidades de Arquitetos como com Entidades Mistas.</t>
  </si>
  <si>
    <t>Capacitação em ATHIS</t>
  </si>
  <si>
    <t>Fomento das ações de capacitação em ATHIS.</t>
  </si>
  <si>
    <t>Cooperação Técnica para ATHIS</t>
  </si>
  <si>
    <t>Realização de Ações e Formalização de Acordos e Convênios de Cooperação Técnica com Entes Públicos, de acordo com a realidade de cada UF.</t>
  </si>
  <si>
    <t>Influenciar as diretrizes do ensino de Arquitetura e Urbanismo e sua formação continuada</t>
  </si>
  <si>
    <t>Ações de Melhoria da Qualidade do Ensino</t>
  </si>
  <si>
    <t>Promoção e Participação em Eventos (Seminários, Cursos, Oficinas, Palestras, Aulas Magnas, etc.) realizados por ou em conjunto com IES, bem como realização de Campanhas pela Qualidade do Ensino</t>
  </si>
  <si>
    <t>CAU nas Escolas</t>
  </si>
  <si>
    <t>Realização de ações de divulgação da Arquitetura e Urbanismo nas escolhas de ensino básico e médio.</t>
  </si>
  <si>
    <t>Audiências de Conciliação</t>
  </si>
  <si>
    <t>Realização de Audiências de Conciliação em Processos Éticos.</t>
  </si>
  <si>
    <t>Melhoria de Processo Ético</t>
  </si>
  <si>
    <t>Realizar ações de melhoria no Processo Ético (Informatização, Redesenho de Processo), incluindo os processos de apuração de denúncia.</t>
  </si>
  <si>
    <t>Palestras e campanhas sobre Aspectos Éticos</t>
  </si>
  <si>
    <t>Realização de abordando definidos e partir do estudo das condutas de maior incidência em processos éticos.</t>
  </si>
  <si>
    <t>Cooperação Técnica para Fiscalização</t>
  </si>
  <si>
    <t>Formalização de Acordos e Convênios de Cooperação Técnica com Instituições, de acordo com a realidade de cada UF.</t>
  </si>
  <si>
    <t>Plataforma de Georreferenciamento</t>
  </si>
  <si>
    <t>Concepção e Implantação de processos de trabalho que faça uso de plataforma de georreferenciamento integrado (IGEO e outras tecnologias)</t>
  </si>
  <si>
    <t>Fiscalização Orientativa</t>
  </si>
  <si>
    <t>Realização de Campanhas de Orientação, com produção de material adequado aos diversos públicos envolvidos.</t>
  </si>
  <si>
    <t>Fiscalização em Obras</t>
  </si>
  <si>
    <t>Ações de fiscalização direta em obras.</t>
  </si>
  <si>
    <t>Serviços de Terceiros- Diárias</t>
  </si>
  <si>
    <t>Serviços de Terceiros- Passagens</t>
  </si>
  <si>
    <t>Serviços de Terceiros- Serviços Prestados</t>
  </si>
  <si>
    <t>Serviços de Terceiros- Aluguéis e Encargos</t>
  </si>
  <si>
    <t>Transferências Correntes</t>
  </si>
  <si>
    <t>NOVOS OBJETIVOS NACIONAIS - DIRETRIZES 2020</t>
  </si>
  <si>
    <t xml:space="preserve">Objetivos de Desenvolvimento Sustentável </t>
  </si>
  <si>
    <t>Orientação: As células sinalizadas, em cinza, são fórmulas e não devem ser modificadas. Verificar os comentários colocando o cursor na célula correspondente, no cabeçalho. Caso seja necessário aumentar o número de linhas, favor verificar a continuidade das fórmulas. O enquadramento aos Objetivos de Desenvolvimento Sustentável (ODS) é facultativo.</t>
  </si>
  <si>
    <t>Fundo de Apoio 
 (C)</t>
  </si>
  <si>
    <t>Programação 2020
 (B)</t>
  </si>
  <si>
    <t>Programação 2019 
(A)</t>
  </si>
  <si>
    <t>Valor (R$)    
(E=B-A)</t>
  </si>
  <si>
    <t>1. Receita de Arrecadação do Exercício</t>
  </si>
  <si>
    <r>
      <t xml:space="preserve">Fiscalização
</t>
    </r>
    <r>
      <rPr>
        <b/>
        <sz val="14"/>
        <color rgb="FF009999"/>
        <rFont val="Calibri"/>
        <family val="2"/>
      </rPr>
      <t xml:space="preserve">(mínimo de 15 % do total da RAL)    </t>
    </r>
    <r>
      <rPr>
        <b/>
        <sz val="14"/>
        <color indexed="8"/>
        <rFont val="Calibri"/>
        <family val="2"/>
      </rPr>
      <t xml:space="preserve">                                                                     </t>
    </r>
  </si>
  <si>
    <t>1.1.1.1.1 Anuidade do Exercício</t>
  </si>
  <si>
    <t>1.1.1.2.1 Anuidade do Exercício</t>
  </si>
  <si>
    <t>2.2 Outras Receitas de Capital</t>
  </si>
  <si>
    <t>1.3 Outras Receitas Correntes</t>
  </si>
  <si>
    <t xml:space="preserve">Objetivo Estratégico  ODS  ( preenchimento facultativo) : </t>
  </si>
  <si>
    <t xml:space="preserve">EXEMPLO </t>
  </si>
  <si>
    <t>Objetivos de Desenvolvimento Sustentável (Facultativo)</t>
  </si>
  <si>
    <t xml:space="preserve">Variação (2020/2019) </t>
  </si>
  <si>
    <t>Não se aplica</t>
  </si>
  <si>
    <t>Atendimento Eletrônico</t>
  </si>
  <si>
    <r>
      <t xml:space="preserve">OBS: A opção </t>
    </r>
    <r>
      <rPr>
        <b/>
        <sz val="11"/>
        <color theme="1"/>
        <rFont val="Calibri"/>
        <family val="2"/>
        <scheme val="minor"/>
      </rPr>
      <t>"Não se aplica</t>
    </r>
    <r>
      <rPr>
        <sz val="11"/>
        <color theme="1"/>
        <rFont val="Calibri"/>
        <family val="2"/>
        <scheme val="minor"/>
      </rPr>
      <t>" deve ser utilizada quando a ação  descrita não faz parte do rol das "</t>
    </r>
    <r>
      <rPr>
        <b/>
        <sz val="11"/>
        <color theme="1"/>
        <rFont val="Calibri"/>
        <family val="2"/>
        <scheme val="minor"/>
      </rPr>
      <t>Ações Estratégicas Prioritárias</t>
    </r>
    <r>
      <rPr>
        <sz val="11"/>
        <color theme="1"/>
        <rFont val="Calibri"/>
        <family val="2"/>
        <scheme val="minor"/>
      </rPr>
      <t>".</t>
    </r>
  </si>
  <si>
    <r>
      <t>Número de Atendimentos/ano oriundos dos profissionais da arquitetura e urbanismo e da sociedade</t>
    </r>
    <r>
      <rPr>
        <b/>
        <sz val="20"/>
        <color theme="1"/>
        <rFont val="Calibri"/>
        <family val="2"/>
        <scheme val="minor"/>
      </rPr>
      <t xml:space="preserve"> , sendo XX via telefone; XX via presencial; XX GAD; XX via WhatsApp, etc... (valor previsto)</t>
    </r>
  </si>
  <si>
    <t>Valorizar a Arquitetura e Urbanismo</t>
  </si>
  <si>
    <t>Garantir a participação dos Arquitetos e Urbanistas no planejamento territorial e na gestão urbana</t>
  </si>
  <si>
    <r>
      <t xml:space="preserve">Aumento dos índices de satisfação e melhoria dos processos de atendimentos aos profissionais de arquitetura e urbanismo e a sociedade em até 30 dias (Indicador - </t>
    </r>
    <r>
      <rPr>
        <b/>
        <sz val="20"/>
        <color theme="1"/>
        <rFont val="Calibri"/>
        <family val="2"/>
        <scheme val="minor"/>
      </rPr>
      <t>número de solicitações tratadas em até 30 dias</t>
    </r>
    <r>
      <rPr>
        <sz val="20"/>
        <color theme="1"/>
        <rFont val="Calibri"/>
        <family val="2"/>
        <scheme val="minor"/>
      </rPr>
      <t>)</t>
    </r>
  </si>
  <si>
    <t>Descrições das Ações</t>
  </si>
  <si>
    <t>Meta da Ação  (Quant.)</t>
  </si>
  <si>
    <t xml:space="preserve">Reserva de Contingência </t>
  </si>
  <si>
    <t>Orientações de Preencimento dos Elementos de Despesas:</t>
  </si>
  <si>
    <r>
      <t>Os itens de custo devem ser:
•</t>
    </r>
    <r>
      <rPr>
        <b/>
        <sz val="10"/>
        <color theme="1"/>
        <rFont val="Arial"/>
        <family val="2"/>
      </rPr>
      <t xml:space="preserve"> Pessoal (Salários, Encargos e Benefícios) </t>
    </r>
    <r>
      <rPr>
        <sz val="10"/>
        <color theme="1"/>
        <rFont val="Arial"/>
        <family val="2"/>
      </rPr>
      <t xml:space="preserve">
a) Pessoal e Encargos:  compreende salários; gratificações; 13º salário; férias; 1/3 férias, abono e horas extras; INSS; FGTS e PIS; vale transporte, auxílio alimentação, plano de saúde e outros benefícios.
b) Diárias – compreende diárias de funcionários com vínculo empregatício com o Conselho.
</t>
    </r>
    <r>
      <rPr>
        <b/>
        <sz val="10"/>
        <color theme="1"/>
        <rFont val="Arial"/>
        <family val="2"/>
      </rPr>
      <t>• Material de Consumo</t>
    </r>
    <r>
      <rPr>
        <sz val="10"/>
        <color theme="1"/>
        <rFont val="Arial"/>
        <family val="2"/>
      </rPr>
      <t xml:space="preserve"> – compreende material de expediente; informática; e outros materiais de consumo que não sejam classificados como material permanente. 
</t>
    </r>
    <r>
      <rPr>
        <b/>
        <sz val="10"/>
        <color theme="1"/>
        <rFont val="Arial"/>
        <family val="2"/>
      </rPr>
      <t xml:space="preserve">• Serviços de Terceiros: </t>
    </r>
    <r>
      <rPr>
        <sz val="10"/>
        <color theme="1"/>
        <rFont val="Arial"/>
        <family val="2"/>
      </rPr>
      <t xml:space="preserve">
a) Diárias – compreende diárias do presidente, de conselheiros e de convidados.
b) Passagens – compreende passagens de funcionários, presidente, conselheiros, e convidados.
c) Serviços Prestados (PF e PJ) – compreende todo serviço prestado por pessoa jurídica como: consultorias; serviços de comunicação e divulgação; manutenção de sistemas informatizados; locação de bens móveis e imóveis, condomínios, reparos e conservação de bens móveis e imóveis; serviços de água e energia elétrica; correios; telecomunicações e outras despesas correntes não classificáveis nos itens anteriores e  remunerações de serviços prestados por pessoa física; remuneração de estagiários, e remuneração de menores aprendizes.
</t>
    </r>
    <r>
      <rPr>
        <b/>
        <sz val="10"/>
        <color theme="1"/>
        <rFont val="Arial"/>
        <family val="2"/>
      </rPr>
      <t>.Transferências Correntes</t>
    </r>
    <r>
      <rPr>
        <sz val="10"/>
        <color theme="1"/>
        <rFont val="Arial"/>
        <family val="2"/>
      </rPr>
      <t xml:space="preserve">: compreende os repasses ao Fundo de Apoio; os repasses ao Centro de Serviço Compartilhado- CSC; convênios, acordos, ajuda as entidades e patrocínios.
</t>
    </r>
    <r>
      <rPr>
        <b/>
        <sz val="10"/>
        <color theme="1"/>
        <rFont val="Arial"/>
        <family val="2"/>
      </rPr>
      <t xml:space="preserve">. Reserva de Contingência: </t>
    </r>
    <r>
      <rPr>
        <sz val="10"/>
        <color theme="1"/>
        <rFont val="Arial"/>
        <family val="2"/>
      </rPr>
      <t xml:space="preserve">compreende as despesas não previstas no plano de ação.
</t>
    </r>
    <r>
      <rPr>
        <b/>
        <sz val="10"/>
        <color theme="1"/>
        <rFont val="Arial"/>
        <family val="2"/>
      </rPr>
      <t>. Encargos Diversos –</t>
    </r>
    <r>
      <rPr>
        <sz val="10"/>
        <color theme="1"/>
        <rFont val="Arial"/>
        <family val="2"/>
      </rPr>
      <t xml:space="preserve"> compreende as taxas bancárias; impostos e taxas diversas; despesas judiciais; e outros encargos.
</t>
    </r>
    <r>
      <rPr>
        <b/>
        <sz val="10"/>
        <color theme="1"/>
        <rFont val="Arial"/>
        <family val="2"/>
      </rPr>
      <t xml:space="preserve">. Imobilizado </t>
    </r>
    <r>
      <rPr>
        <sz val="10"/>
        <color theme="1"/>
        <rFont val="Arial"/>
        <family val="2"/>
      </rPr>
      <t xml:space="preserve">– compreende os investimentos como: aquisição de equipamentos e materiais permanentes; aquisição de imóveis; e outros investimentos.
</t>
    </r>
  </si>
  <si>
    <t>Comentários/Justificativas:</t>
  </si>
  <si>
    <t xml:space="preserve">Tipo (Projeto, Atividade, Projeto Específico): </t>
  </si>
  <si>
    <t>P/A/ PE</t>
  </si>
  <si>
    <t>P /A/ PE</t>
  </si>
  <si>
    <t>LEGENDA: P = PROJETO/ A = ATIVIDADE/ PE: PROJETO ESPECÍFICO / FP = FUNDO DE APOIO</t>
  </si>
  <si>
    <t>Obs:  O anexo 1.4  deve ser preenchido para todos os projetos/atividades de 2020, apresentando as ações, quantificação e descrição da meta, resultados por ação e o indicador da ação. 
As informações devem ser transcritas para Quadro Geral. As células sinalizadas, em cinza, são fórmulas e não devem ser modificadas.</t>
  </si>
  <si>
    <t>Orientações para o Quadro Descritivo:</t>
  </si>
  <si>
    <t>PROJETO</t>
  </si>
  <si>
    <t>ATIVIDADE</t>
  </si>
  <si>
    <t>PROJETO ESPECÍFICO</t>
  </si>
  <si>
    <r>
      <rPr>
        <b/>
        <sz val="20"/>
        <color theme="1"/>
        <rFont val="Calibri"/>
        <family val="2"/>
        <scheme val="minor"/>
      </rPr>
      <t xml:space="preserve">1. Unidade Responsável : </t>
    </r>
    <r>
      <rPr>
        <sz val="20"/>
        <color theme="1"/>
        <rFont val="Calibri"/>
        <family val="2"/>
        <scheme val="minor"/>
      </rPr>
      <t xml:space="preserve">nome da Unidade Organizacional, na forma do organograma, Colegiado e o nome das Comissões Permanentes e Especiais que serão responsáveis pelo projeto/atividade.
</t>
    </r>
    <r>
      <rPr>
        <b/>
        <sz val="20"/>
        <color theme="1"/>
        <rFont val="Calibri"/>
        <family val="2"/>
        <scheme val="minor"/>
      </rPr>
      <t>2.Tipo (Projeto / Atividade/ Projeto Específico):</t>
    </r>
    <r>
      <rPr>
        <sz val="20"/>
        <color theme="1"/>
        <rFont val="Calibri"/>
        <family val="2"/>
        <scheme val="minor"/>
      </rPr>
      <t xml:space="preserve">
• Projeto (P): nome do Projeto. O Projeto compreende um conjunto de ações inter-relacionadas, coordenadas e orientadas para o alcance de resultados, com prazo e recursos definidos.
• Projeto Específico(PE): projeto planejado para incorporação dos recursos oriundos de Saldos de Exercícios Anteriores, de acordo com a deliberação plenária nº 84-03/2019, que prevê “autorizar a utilização de superávit financeiro, apurado no balanço patrimonial do exercício imediatamente anterior, em despesas de capital e em projetos específicos com seus respectivos Planos de Trabalho e com duração não superior a um exercício, de caráter não continuado, em ações cuja realização seja suportada por despesas de natureza corrente”.
• Atividade (A): nome da Atividade. A Atividade compreende um conjunto de ações permanentes e rotineiras relacionadas à gestão do CAU/BR, que contribuem para a melhoria do desempenho da Entidade.
</t>
    </r>
    <r>
      <rPr>
        <b/>
        <sz val="20"/>
        <color theme="1"/>
        <rFont val="Calibri"/>
        <family val="2"/>
        <scheme val="minor"/>
      </rPr>
      <t xml:space="preserve">3.Indicador Vinculado ( preenchimento opcional): </t>
    </r>
    <r>
      <rPr>
        <sz val="20"/>
        <color theme="1"/>
        <rFont val="Calibri"/>
        <family val="2"/>
        <scheme val="minor"/>
      </rPr>
      <t xml:space="preserve">selecionar o indicador vinculado a este projeto/atividade.
</t>
    </r>
    <r>
      <rPr>
        <b/>
        <sz val="20"/>
        <color theme="1"/>
        <rFont val="Calibri"/>
        <family val="2"/>
        <scheme val="minor"/>
      </rPr>
      <t xml:space="preserve">4. FP: fundo de apoio. </t>
    </r>
    <r>
      <rPr>
        <sz val="20"/>
        <color theme="1"/>
        <rFont val="Calibri"/>
        <family val="2"/>
        <scheme val="minor"/>
      </rPr>
      <t xml:space="preserve">Informar se o projeto ou atividade será financiada por recursos oriundos do fundo de apoio dos CAU/UF, apenas para os CAU/Básicos. </t>
    </r>
    <r>
      <rPr>
        <b/>
        <sz val="20"/>
        <color theme="1"/>
        <rFont val="Calibri"/>
        <family val="2"/>
        <scheme val="minor"/>
      </rPr>
      <t>Atenção:</t>
    </r>
    <r>
      <rPr>
        <sz val="20"/>
        <color theme="1"/>
        <rFont val="Calibri"/>
        <family val="2"/>
        <scheme val="minor"/>
      </rPr>
      <t xml:space="preserve">Cabe salientar que os CAU Básico, na elaboração de sua programação para 2020, deverão observar com maior rigor todos os procedimentos e estratégias estabelecidas nas presentes Diretrizes e na Resolução nº 119, valendo ressaltar “Art. 6° Os recursos provenientes do Fundo de Apoio deverão ser utilizados em estrita conformidade com o Plano de Ação aprovado, sendo vedada a sua utilização para despesas de capital”. Vale ressaltar também  que a participação nas reuniões plenárias ampliadas e o valor do CSC devem ser custeados pelo Fundo de Apoio.
</t>
    </r>
    <r>
      <rPr>
        <b/>
        <sz val="20"/>
        <color theme="1"/>
        <rFont val="Calibri"/>
        <family val="2"/>
        <scheme val="minor"/>
      </rPr>
      <t xml:space="preserve">5. Denominação: </t>
    </r>
    <r>
      <rPr>
        <sz val="20"/>
        <color theme="1"/>
        <rFont val="Calibri"/>
        <family val="2"/>
        <scheme val="minor"/>
      </rPr>
      <t xml:space="preserve">nome do Projeto ou Atividade.
</t>
    </r>
    <r>
      <rPr>
        <b/>
        <sz val="20"/>
        <color theme="1"/>
        <rFont val="Calibri"/>
        <family val="2"/>
        <scheme val="minor"/>
      </rPr>
      <t>6. Objetivo Geral (Projeto / Atividade):</t>
    </r>
    <r>
      <rPr>
        <sz val="20"/>
        <color theme="1"/>
        <rFont val="Calibri"/>
        <family val="2"/>
        <scheme val="minor"/>
      </rPr>
      <t xml:space="preserve"> é a motivação geral e a síntese dos efeitos que se deseja produzir, no horizonte de tempo do projeto. Deve ser desafiador e possuir uma ligação direta com as necessidades do público-alvo (interno e externo). Por isso, sua formulação está associada à transformação desejada, traduzida pelos resultados do projeto.
As perguntas a serem respondidas com esta formulação são:
• O que se quer agregar com este projeto?
• Quais os ganhos a serem perseguidos? 
• Quais as mudanças a serem alcançadas, na situação atual, ao final do projeto?
Nas Atividades, o Objetivo Geral deve descrever a finalidade da atividade, com concisão e precisão.
</t>
    </r>
    <r>
      <rPr>
        <b/>
        <sz val="20"/>
        <color theme="1"/>
        <rFont val="Calibri"/>
        <family val="2"/>
        <scheme val="minor"/>
      </rPr>
      <t xml:space="preserve">7. Objetivos Estratégicos: </t>
    </r>
    <r>
      <rPr>
        <sz val="20"/>
        <color theme="1"/>
        <rFont val="Calibri"/>
        <family val="2"/>
        <scheme val="minor"/>
      </rPr>
      <t xml:space="preserve">neste campo deve ser informado o objetivo estratégico ao qual o projeto ou atividade está diretamente relacionado (principal). Foram estabelecidos 14 (quatorze) objetivos estratégicos, de acordo com o Mapa Estratégico do CAU.
</t>
    </r>
    <r>
      <rPr>
        <b/>
        <sz val="20"/>
        <color theme="1"/>
        <rFont val="Calibri"/>
        <family val="2"/>
        <scheme val="minor"/>
      </rPr>
      <t xml:space="preserve">8. Objetivos de Desenvolvimento Sustentável (Facultativo): </t>
    </r>
    <r>
      <rPr>
        <sz val="20"/>
        <color theme="1"/>
        <rFont val="Calibri"/>
        <family val="2"/>
        <scheme val="minor"/>
      </rPr>
      <t xml:space="preserve">são uma agenda mundial adotada durante a Cúpula das Nações Unidas sobre o Desenvolvimento Sustentável, composta por 17 objetivos e 169 metas a serem atingidos até 2030. 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2020.
</t>
    </r>
    <r>
      <rPr>
        <b/>
        <sz val="20"/>
        <color theme="1"/>
        <rFont val="Calibri"/>
        <family val="2"/>
        <scheme val="minor"/>
      </rPr>
      <t xml:space="preserve">9. Resultados: </t>
    </r>
    <r>
      <rPr>
        <sz val="20"/>
        <color theme="1"/>
        <rFont val="Calibri"/>
        <family val="2"/>
        <scheme val="minor"/>
      </rPr>
      <t xml:space="preserve">os resultados são os efeitos que devem ser produzidos com a execução do projeto/atividade, dentro do seu horizonte do tempo. Refletem o objetivo geral do projeto/atividade e representam o seu desdobramento em metas mensuráveis.
Resultado = Transformação + Indicador + Meta + Prazo 
</t>
    </r>
    <r>
      <rPr>
        <b/>
        <sz val="20"/>
        <color theme="1"/>
        <rFont val="Calibri"/>
        <family val="2"/>
        <scheme val="minor"/>
      </rPr>
      <t xml:space="preserve">10.Metas Físicas: </t>
    </r>
    <r>
      <rPr>
        <sz val="20"/>
        <color theme="1"/>
        <rFont val="Calibri"/>
        <family val="2"/>
        <scheme val="minor"/>
      </rPr>
      <t>bem ou serviço qualificado e quantificado resultante da execução da ação. Para efeito de padronização, as metas são organizadas em dois conjuntos
a) Quantificação da meta: consiste no quantitativo da ação. 
b) Descrição da meta:
i. Metas de atendimento - consiste na intenção, expressa numericamente, de cada ação quanto a pessoas (físicas ou jurídicas) a serem beneficiadas pelo projeto. Exemplo: número de pessoas capacitadas. 
ii. Metas de entrega - consistem na intenção, expressa numericamente, de cada ação quanto a bens, serviços ou processos realizados para contribuir com o alcance dos resultados previstos no projeto. Exemplo: equipamentos adquiridos.
• Meta da Ação: mensurar a quantidade que deseja alcançar com a realização da ação. 
• Ações: ações são iniciativas especificas que devem ser executadas dentro de um projeto ou de uma atividade para produzir os resultados estabelecidos. 
A ação deve transmitir com clareza a sua finalidade, conteúdo e forma de implementação (o que vai ser feito, por que será feito, onde será feito, quando será feito, como vai ser feito e com que finalidade, por quem será feito e quanto vai custar). Exemplo: Realização de cursos de capacitação no SICCAU. 
• Ações Estratégicas Prioritárias: selecionar as ações que melhor se enquadram com o objetivo geral.  A opção "Não se aplica" deve ser utilizada quando a ação descrita não faz parte do rol das "Ações Estratégicas Prioritárias".
11.Resultados esperados:</t>
    </r>
    <r>
      <rPr>
        <b/>
        <sz val="20"/>
        <color theme="1"/>
        <rFont val="Calibri"/>
        <family val="2"/>
        <scheme val="minor"/>
      </rPr>
      <t xml:space="preserve"> </t>
    </r>
    <r>
      <rPr>
        <sz val="20"/>
        <color theme="1"/>
        <rFont val="Calibri"/>
        <family val="2"/>
        <scheme val="minor"/>
      </rPr>
      <t xml:space="preserve">os resultados são os efeitos que devem ser produzidos com a execução da ação, dentro do seu horizonte do tempo. 
</t>
    </r>
    <r>
      <rPr>
        <b/>
        <sz val="20"/>
        <color theme="1"/>
        <rFont val="Calibri"/>
        <family val="2"/>
        <scheme val="minor"/>
      </rPr>
      <t xml:space="preserve">12.Período de Execução: </t>
    </r>
    <r>
      <rPr>
        <sz val="20"/>
        <color theme="1"/>
        <rFont val="Calibri"/>
        <family val="2"/>
        <scheme val="minor"/>
      </rPr>
      <t xml:space="preserve">corresponde ao tempo de duração da ação. As datas de início e término da ação devem ser estabelecidas considerando-se: o tempo necessário à sua execução, o período de maturação para gerar o impacto desejado sobre os resultados e a vinculação com outras ações que a devam preceder ou suceder.
</t>
    </r>
    <r>
      <rPr>
        <b/>
        <sz val="20"/>
        <color theme="1"/>
        <rFont val="Calibri"/>
        <family val="2"/>
        <scheme val="minor"/>
      </rPr>
      <t>13. Custo da ação:</t>
    </r>
    <r>
      <rPr>
        <sz val="20"/>
        <color theme="1"/>
        <rFont val="Calibri"/>
        <family val="2"/>
        <scheme val="minor"/>
      </rPr>
      <t xml:space="preserve"> valor detalhado dos recursos necessários para a realização da ação:
a) Programação “X-1” (valor aprovado no ano anterior): indicar o custo total da ação aprovado no ano anterior;
b) Programação “X” (valor previsto para o ano seguinte): indicar o custo total da ação prevista para o ano seguinte.
• Variação: valor e percentual de variação entre os valores aprovados e os valores previstos.
• % de Participação: indicar o percentual de participação do valor previsto de cada ação sobre o custo total do projeto/ atividade.
</t>
    </r>
    <r>
      <rPr>
        <b/>
        <sz val="20"/>
        <color theme="1"/>
        <rFont val="Calibri"/>
        <family val="2"/>
        <scheme val="minor"/>
      </rPr>
      <t xml:space="preserve">14. Elementos de despesa: </t>
    </r>
    <r>
      <rPr>
        <sz val="20"/>
        <color theme="1"/>
        <rFont val="Calibri"/>
        <family val="2"/>
        <scheme val="minor"/>
      </rPr>
      <t xml:space="preserve">selecionar os elementos de despesas de acordo com as classificações dos grupos no Siscont.
</t>
    </r>
    <r>
      <rPr>
        <b/>
        <sz val="20"/>
        <color theme="1"/>
        <rFont val="Calibri"/>
        <family val="2"/>
        <scheme val="minor"/>
      </rPr>
      <t xml:space="preserve">15. A custear com Recursos do Fundo de Apoio: </t>
    </r>
    <r>
      <rPr>
        <sz val="20"/>
        <color theme="1"/>
        <rFont val="Calibri"/>
        <family val="2"/>
        <scheme val="minor"/>
      </rPr>
      <t xml:space="preserve">compreende o valor que será custeado com recursos do Fundo de Apoio em cada elemento de despesas.
</t>
    </r>
    <r>
      <rPr>
        <b/>
        <sz val="20"/>
        <color theme="1"/>
        <rFont val="Calibri"/>
        <family val="2"/>
        <scheme val="minor"/>
      </rPr>
      <t>16. Responsável pela Execução –</t>
    </r>
    <r>
      <rPr>
        <sz val="20"/>
        <color theme="1"/>
        <rFont val="Calibri"/>
        <family val="2"/>
        <scheme val="minor"/>
      </rPr>
      <t xml:space="preserve"> nome do responsável pela execução da ação.
</t>
    </r>
  </si>
  <si>
    <t>MAPA ESTRATÉGICO CAU/TO</t>
  </si>
  <si>
    <t>CAU/UF: TO</t>
  </si>
  <si>
    <t>Gerência Administrativa e Financeira</t>
  </si>
  <si>
    <t>Atividade</t>
  </si>
  <si>
    <t>Sirley Silva</t>
  </si>
  <si>
    <t>Conceder ao CAU/TO todos os serviços ativos e em pleno funcionamento para atender com eficácia aos profissionais e à sociedade</t>
  </si>
  <si>
    <t>Possuir infraestrutura física e de sistemas de informação que viabilizem o atendimento aos profissionais e a sociedade propostos pelo CAU</t>
  </si>
  <si>
    <t>Gerência Técnica e de Fiscalização</t>
  </si>
  <si>
    <t>Gilmar Scaravonatti</t>
  </si>
  <si>
    <t>Promover a fiscalização visando ações estratégicas de otimização das atividades, como a promoção de parcerias e convênios com órgãos de controle e fiscalização</t>
  </si>
  <si>
    <t>Manter e Desenvolver as Atividades da Gerência Técnica e de Fiscalização do CAU/TO</t>
  </si>
  <si>
    <t>Estruturar a fiscalização por meio da atuação integrada com demais organismos sociais visando cumprir com a finalidade do Conselho enquanto agente fiscalizador</t>
  </si>
  <si>
    <t>Presidência</t>
  </si>
  <si>
    <t>Silenio Martins Camargo</t>
  </si>
  <si>
    <t>Manter e Desenvolver as Atividades da Presidência e do Plenário do CAU/TO</t>
  </si>
  <si>
    <t xml:space="preserve">Realização das reuniões plenárias, participação em reuniões do CAU e representação institucional do CAU/TO </t>
  </si>
  <si>
    <t>Cumprimento do calendário anual de reuniões do CAU/TO e CAU/BR e participação em eventos de interesse da profissão de arquitetura e Urbanismo</t>
  </si>
  <si>
    <t>Comissão de Ética  e Disciplina e Exercício Profissional do CAU/TO - CEDEP/TO</t>
  </si>
  <si>
    <t>Fiscalizar o exercício  da arquitetura e urbanismo, divulgar o código de ética e disciplina e conduzir os processos</t>
  </si>
  <si>
    <t xml:space="preserve">Fiscalização do exercício da profissão de arquitetura e urbanismo, disseminação do código de ética e disciplina e análise e julgamento dos processos de ética </t>
  </si>
  <si>
    <t>Comissão de Ensino e Formação do CAU/TO - CEF/TO</t>
  </si>
  <si>
    <t>Joseliene de Sá da Silva</t>
  </si>
  <si>
    <t>Orientar as instituições locais sobre os requisitos mínimos sobre o ensino e reportar assuntos de ensino e formação em âmbito nacional para a Comissão de Ensino do CAU/BR</t>
  </si>
  <si>
    <t>Lúcio Milhomem Cavalcante Pinto</t>
  </si>
  <si>
    <t>Realização das reuniões da comissão e participação em reuniões da comissão nacional</t>
  </si>
  <si>
    <t xml:space="preserve">Proporcionar ambiente de debate sobre política urbana e ambiental </t>
  </si>
  <si>
    <t>Sirley Rodrigues Silva</t>
  </si>
  <si>
    <t>Atendimento e Relacionamento com Arquitetos e Urbanistas e a Sociedade</t>
  </si>
  <si>
    <t>Desenvolver ações de melhoria no atendimento e de aproximação com profissionais, empresas e estudantes de arquitetura e urbanismo e a sociedade.</t>
  </si>
  <si>
    <t>Relacionamento e comunicação com a sociedade</t>
  </si>
  <si>
    <t>Assegurar que o CAU/TO possua assessoria de comunicação especializada para a devida comunicação com a sociedade, profissionais e empresas de arquitetura e urbanismo</t>
  </si>
  <si>
    <t>Capacitação de dirigentes e colaboradores</t>
  </si>
  <si>
    <t>Proporcionar treinamento à equipe de colaboradores e dirigentes do CAU/TO</t>
  </si>
  <si>
    <t>Assistência Técnica em Habitações de Interesse Social – ATHIS</t>
  </si>
  <si>
    <t>Implantar ações que estimulem o cumprimento da Lei 11.888/2008.</t>
  </si>
  <si>
    <t>Projeto</t>
  </si>
  <si>
    <t>Contribuição ao Fundo de Apoio aos CAUs Básicos</t>
  </si>
  <si>
    <t xml:space="preserve">Destinar recursos ao Fundo de Apoio aos CAUs Básicos </t>
  </si>
  <si>
    <t>Contribuição ao CSC - Fiscalização</t>
  </si>
  <si>
    <t>Compartilhamento das despesas incorridas na gestão, manutenção e evolução dos serviços essenciais do Centro de Serviços Compartilhados relacionadas à fiscalização</t>
  </si>
  <si>
    <t>Contribuição ao CSC - Atendimento</t>
  </si>
  <si>
    <t>Compartilhamento das despesas incorridas na gestão, manutenção e evolução dos serviços essenciais do Centro de Serviços Compartilhados relacionadas ao atendimento</t>
  </si>
  <si>
    <t>Contribuição ao CSC  - SISCAF</t>
  </si>
  <si>
    <t>Implantação da sede própria do CAU/TO</t>
  </si>
  <si>
    <t>Construção da sede própria do Conselho</t>
  </si>
  <si>
    <t>Possuir sede própria</t>
  </si>
  <si>
    <t>Aquisição de material de consumo diversos necessários à atividade de fiscalização</t>
  </si>
  <si>
    <t>Aquisição de passagens áereas para participação em eventos do CAU, previsão de 4 bilhetes</t>
  </si>
  <si>
    <t>Despesas com veículo da fiscalização. Incluso: renovação de seguros, aquisição de combustível e realização de revisões e manutenções preventivas e corretivas necessárias</t>
  </si>
  <si>
    <t>Remuneração de estágiários (bolsa estágio, vale transporte e serviços de intermediação de estágio)</t>
  </si>
  <si>
    <t>Remuneração do quadro funcional da Gerência composto por: 1 Gerente Técnico e de Fiscalização e de 1 Fiscal</t>
  </si>
  <si>
    <t>Viagens de fiscalização ao interior do estado. Equipe: 1 fiscal e 1 gerente técnico
Trecho 1: Araguaína/ Colinas/ Guaraí - 2 viagens de 5 dias = 18 diárias
Trecho 2: Gurupi - 2 viagens de 2 dias = 6 diárias
Total diárias: 24</t>
  </si>
  <si>
    <t>Serviços de fornecimento de água e esgoto, energia elétrica, telefonia, seguro patrimonial</t>
  </si>
  <si>
    <t>Locação de 2 salas comerciais e 2 vagas de garagem</t>
  </si>
  <si>
    <t>Impostos e taxas, despesas judiciais, despesas miúdas de pronto pagamento, indenizações e restituições, taxas bancárias</t>
  </si>
  <si>
    <t>Materiais de expediente, suprimentos de informática, materiais para manutenção de bens móveis e imóveis, materiais de copa e cozinha, materiais de limpeza e conservação, aquisição/ renovação de licenças de softwares</t>
  </si>
  <si>
    <t>Serviços de terceiros. Incluso: assessoria contábil, manutenção de computadores e ar condicionados, manutenção predial,  imprensa nacional e serviços de correios</t>
  </si>
  <si>
    <t>Adquirir equipamentos de informática</t>
  </si>
  <si>
    <t>Adquirir móveis de escritório</t>
  </si>
  <si>
    <t>Aquisição de passages aéreas para participação em eventos do CAU, previsão 4 bilhetes</t>
  </si>
  <si>
    <t>Despessa com véiculo. Incluso: renovação de seguro, aquisição de combustível, e realização de revisões e manutenções preventivas e corretivas necessárias</t>
  </si>
  <si>
    <t>Remuneração de pessoal da equipe administrativa, composta por 1 Gerente Administrativa e Financeira e 1 Assessor Jurídico, 1 assistente administrativo e 1 Auxiliar de Serviços Gerais</t>
  </si>
  <si>
    <t>Diárias para participação em eventos do CAU, previsão de 5 diárias</t>
  </si>
  <si>
    <t xml:space="preserve">Custear diárias para participação em eventos do CAU, previsão de 5 diárias </t>
  </si>
  <si>
    <t>Remuneração do quadro de pessoal do atendimento, composto por 2 assistentes administrativos</t>
  </si>
  <si>
    <t>Contratação de empresa/profissional para atender demandas de serviços de tecnologia da informação</t>
  </si>
  <si>
    <t>Material de consumo necessários às atividades da presidência/secretaria</t>
  </si>
  <si>
    <t>Manter quadro de pessoal da presidência, composto por 1 secretária da presidência</t>
  </si>
  <si>
    <t xml:space="preserve"> Manter os serviços de assessoria de comunicação, com produção de conteúdo, administração de marketing digital e contato externo com veículos de imprensa.</t>
  </si>
  <si>
    <t>Contratação de serviços de web designer para confecção de folders, banner, convites, entre outros materiais gráficos</t>
  </si>
  <si>
    <t>Reunião em separado e posteriormente em conjunto com as partes envolvidas na implantação da Lei de Assistência Técnica no Estado:
Secretaria Estadual das Cidades; Secretaria Municipal de Desenvolvimento Urbano; IAB/TO; Caixa Econômica Federal; Seageto.
Lançamento de edital e seleção de projeto de assistência técnica de interesse social</t>
  </si>
  <si>
    <t>Manutenção da licença de uso do  Sistema SISCAF</t>
  </si>
  <si>
    <t>Custeio de despesas com projetos e construção da sede do CAU/TO.</t>
  </si>
  <si>
    <t>Comissão de Planejamento Administração e Finanças do CAU/TO - CPAF/TO</t>
  </si>
  <si>
    <t>Realização das atividades da comissão e participação em reuniões da comissão nacional</t>
  </si>
  <si>
    <t>Acompanhamento, orientação e supervisão das atividades de planejamento, administração, orçamento e finanças do CAU/TO</t>
  </si>
  <si>
    <t>Manter as atividades da Comissão de Planejamento Administração e Finanças do CAU/TO - CPAF/TO</t>
  </si>
  <si>
    <t>Manter as atividades da Comissão de Ética e Disciplina e  Exercício Profissional - CEDEP/TO</t>
  </si>
  <si>
    <t>Manter as atividades da Comissão de Ensino e Formação do CAU/TO - CEF/TO</t>
  </si>
  <si>
    <t xml:space="preserve">Manter e desenvolver as Atividades da Gerência Administrativa e Financeira </t>
  </si>
  <si>
    <t>Melhoria e agilidade nos procedimentos de cobrança</t>
  </si>
  <si>
    <t>Aquisição de  cursos de capacitação ou treinamentos, voltados à área técnica específica, oferecidos por insituições de treinamentos.</t>
  </si>
  <si>
    <t>Maria Gabriella Paes Agostini</t>
  </si>
  <si>
    <t>Despesas comissão eleitoral</t>
  </si>
  <si>
    <t>Destinar recursos ao processo eleitoral</t>
  </si>
  <si>
    <t>Manter as atividade da comissão eleitoral</t>
  </si>
  <si>
    <t>Reserva de Contingência</t>
  </si>
  <si>
    <t>P</t>
  </si>
  <si>
    <t>A</t>
  </si>
  <si>
    <t>X</t>
  </si>
  <si>
    <t>Aportar 2,05% das receitas de arrecadação do CAU/TO para o Fundo de Apoio ao CAU Básico</t>
  </si>
  <si>
    <t>Aportar 16,5% dos recursos destinados ao CSC serviços essenciais para despesas de atendimento, conforme diretrizes 2020</t>
  </si>
  <si>
    <t>Aportar  83,5% dos recursos destinados ao CSC Serviços essenciais para a Fiscalização, conforme diretrizes 2020</t>
  </si>
  <si>
    <t>Reserva de contingência para suportar financeiramente ações não contempladas nos Planos de Ação aprovados</t>
  </si>
  <si>
    <t>Reembolso terrestre (km rodado) para os conselheiros que residem fora da capital participarem nas reuniões da comissão - 1 Conselheiro titular de Araguaína;1 conselheira suplente de Guaraí</t>
  </si>
  <si>
    <t>Diárias para participação em 2 reuniões da CED/BR e e 2 reuniões da CEP/BR -  9 diárias</t>
  </si>
  <si>
    <t>Realização de seminário de ética</t>
  </si>
  <si>
    <t>Realização de 12 reuniões ordinárias e 1 extraordinária  - 01 conselheiro titular Gurupi</t>
  </si>
  <si>
    <t>Reembolso terrestre (km rodado) para os conselheiros que residem fora da capital participarem nas reuniões da comissão - 1 Conselheiro titular de Gurupi</t>
  </si>
  <si>
    <t>Participar em 1 reunião da CPFI/BR e 1 reunião da COA/BR - 5 diárias</t>
  </si>
  <si>
    <t>Participar em 2 reuniões da CEF/BR - 5 diárias</t>
  </si>
  <si>
    <t>Concurso de TCC</t>
  </si>
  <si>
    <t>Parceria em até 3 eventos regionais afetos à comissão (limite de R$ 1.500 por parceria)</t>
  </si>
  <si>
    <t>Participação do presidente em 4 plenárias ampliadas conjuntas com fórum de presidentes e em 5 reuniões de interesse da presidência do CAU/TO; participação em compromissos no interior do estado.
Previsão de 22 diárias nacional e 2 diárias estaduais</t>
  </si>
  <si>
    <t>Realizar ações não previstas no plano de ação inicial</t>
  </si>
  <si>
    <t>Concurso de Fotografia - Ação de 2019</t>
  </si>
  <si>
    <t>Benefícios:
Auxílio alimentação: R$ 47.143
Auxílio transporte: R$ 16.262</t>
  </si>
  <si>
    <t>Diárias para articipação em até 6 cursos de capacitação ou treinamentos do CAU/BR ou outro relacionado à área técnica específica</t>
  </si>
  <si>
    <t>Silenio Camargo</t>
  </si>
  <si>
    <t>Flávio Dalla Costa</t>
  </si>
  <si>
    <t>Luis Hildebrando Ferreira Paz</t>
  </si>
  <si>
    <t xml:space="preserve">Realização de 12 reuniões plenárias mensais e 1 extraordinária - 01 conselheiro Araguaína,  01 conselheiro Gurupi. </t>
  </si>
  <si>
    <t xml:space="preserve">Reembolso terrestre (km rodado) para os conselheiros que residem fora da capital participarem nas reuniões plenárias - 1 Conselheiro titular de Araguaína; 1 conselheiro titular de Gurupi; </t>
  </si>
  <si>
    <t xml:space="preserve">Realização de 12 reuniões ordinárias e 1 extraordinária  - 01 conselheiro titular Araguaína </t>
  </si>
  <si>
    <t>Cumprimento dos compromissos da presidência</t>
  </si>
  <si>
    <t xml:space="preserve">Suprir a presidência e plenário de materiais de consumo  </t>
  </si>
  <si>
    <t>Cumprir com o estabelecido na Lei 12.378/2010 e nas Resoluções do CAU em relação ao de ensino e formação</t>
  </si>
  <si>
    <t xml:space="preserve">Contribuir com o conhecimento da Comissão e  odesenvolvimento de suas atividades; e tomar  conhecimento sobre os trabalhos realizados no âmbito da CPFI/BR e COA/BR
</t>
  </si>
  <si>
    <t>Realização das reuniões mensais do conselho com a participação dos conselheiros que residem fora da capital</t>
  </si>
  <si>
    <t xml:space="preserve">Contribuir com o conhecimento da Comissão e  o desenvolvimento de suas atividades; e tomar  conhecimento sobre os trabalhos realizados no âmbito da CPFI/BR e COA/BR
</t>
  </si>
  <si>
    <t>Realização das reuniões plenárias do Conselho, mensalmente, com a participação dos conselheiros que residem fora da capital</t>
  </si>
  <si>
    <t>Prover ao CAU/TO sede corporativa com a infraestrutura necessária ao desenvolvimento de suas atividades administrativas e o fortalecimento de sua imagem política e institucional junto aos profissionais e à sociedade</t>
  </si>
  <si>
    <t>Pleno funcionamento da área administrativa e jurídica para atender às necessidades do Conselho.</t>
  </si>
  <si>
    <t>Pleno funcionamento da área técnica e de fiscalização para atender às necessidades do Conselho e da sociedade</t>
  </si>
  <si>
    <t>Pleno funcionamento da área de atendimento para atender às necessidades do Conselho e da sociedade</t>
  </si>
  <si>
    <t>Pleno funcionamento das atividades da secretaria para atender às necessidades do Conselho</t>
  </si>
  <si>
    <t xml:space="preserve">Contribuir com o conhecimento da Comissão e  odesenvolvimento de suas atividades; e tomar  conhecimento sobre os trabalhos realizados no âmbito da CED/BR e CEP/BR
</t>
  </si>
  <si>
    <t xml:space="preserve">Contribuir com o conhecimento da Comissão e  o desenvolvimento de suas atividades; e tomar  conhecimento sobre os trabalhos realizados no âmbito da CED/BR e CEP/BR
</t>
  </si>
  <si>
    <t>Estabelecer parcerias para participação em eventos universitários - semanas acadêmicas (limite R$ 1.500,00 por IE)</t>
  </si>
  <si>
    <t>Ampliar o diálogo com as instituições de ensino superior do Estado que possuem curso de arquitetura e urbanismo e com seus estudantes; e se fazer presente junto aos futuros profissionais de arquitetura e urbanismo do Estado</t>
  </si>
  <si>
    <t>Valorizar e divulgar a produção acadêmica, e contribuir para o aperfeiçoamento do ensino nas instituições de ensino de arquitetura e urbanismo do Estado, como também aproximar os egressos do mercado, dos profissionais nele atuantes e do Conselho.</t>
  </si>
  <si>
    <t>Comissão de Políticas Públicas Urbanas e Ambientais do TO - CPPUA/TO</t>
  </si>
  <si>
    <t>Participar em 2 reuniões  de comissões nacionais - 5 diárias</t>
  </si>
  <si>
    <t>Ampliar o debate relacionado às temáticas das comissões</t>
  </si>
  <si>
    <t>Manter as atividades da Comissão de Políticas Públicas Urbanas e Ambientais do TO - CPPUA/TO</t>
  </si>
  <si>
    <t>Realização de fiscalização no interior do Estado</t>
  </si>
  <si>
    <t>Viabilizar as atividades da gerência técnica e da fiscalização do Conselho</t>
  </si>
  <si>
    <t>Apoio às atividades de atendimento do Conselho</t>
  </si>
  <si>
    <t xml:space="preserve">Apoio às atividades de fiscalização </t>
  </si>
  <si>
    <t xml:space="preserve">Suprir a fiscalização de materiais de consumo  </t>
  </si>
  <si>
    <t>Manutenção dos serviços essênciais ao funcionamento da estrutura administrativa do conselho</t>
  </si>
  <si>
    <t>Manutenção das atividadesindispensáveis ao funcionamento da estrutura administrativa do conselho</t>
  </si>
  <si>
    <t>Manutenção dos equipamentos essênciais ao funcionamento da estrutura de atendimento realizada pelo conselho</t>
  </si>
  <si>
    <t>Aproximação ao público alvo da instituição</t>
  </si>
  <si>
    <t>Maior conhecimento sobre o papel do conselho, da profissão de arquiteto
e urbanista e sua contribuição para a sociedade</t>
  </si>
  <si>
    <t>Ampliar os conhecimentos técnicos da equipe do CAU/TO</t>
  </si>
  <si>
    <t>Garantir estrutura mínina de atendimento aos profissionais em todas as unidades da federação</t>
  </si>
  <si>
    <t>Aporte financeiro aos essenciais para a Fiscalização</t>
  </si>
  <si>
    <t>Aporte financeiro aos essenciais para o atendimento</t>
  </si>
  <si>
    <t>Agilidade nos procedimentos de cobrança nas fases administrativa e judicial</t>
  </si>
  <si>
    <t>Suportar ações necessárias ao processo eleitoral</t>
  </si>
  <si>
    <t>6h</t>
  </si>
  <si>
    <t>Manutenção das Ações da Comissão Eleitoral</t>
  </si>
  <si>
    <t>Suportar as ações indispensáveis ao trabalho da comissão eleitoral</t>
  </si>
  <si>
    <t xml:space="preserve">Realização da eleição da gestão 2021-2023 </t>
  </si>
  <si>
    <t>Gerencia Técnica e de Fiscalização</t>
  </si>
  <si>
    <t>Realizar ações não prevista do plano de ação inicial</t>
  </si>
  <si>
    <t>Suportar ações de natureza estratégica e operacional não contempladas no Plano de Ação aprovado</t>
  </si>
  <si>
    <t xml:space="preserve">Cumprimento das ações de relacionamento e aproximação do CAU/TO com o profissional e a sociedade </t>
  </si>
  <si>
    <t>Possibilitar comunicação eficaz com a sociedade, empresas e profissionais registrados</t>
  </si>
  <si>
    <t>Melhoria no atendimento e relacionamento com a sociedade e profissionais por meio do desenvolvimento de competências do quadro de pessoal do conselho</t>
  </si>
  <si>
    <t>Orientar profissionais e empresas de Arquitetura e Urbanismo, entidades do poder público pertinentes ao tema sobre o papel de cada parte para o cumprimento da Lei de 11.888/2008</t>
  </si>
  <si>
    <t>Viabilizar a operação dos Caus Básicos com a estrutura mínima de funcionamento estabelecida pelo CAU</t>
  </si>
  <si>
    <t>Assegurar o funcionamento dos serviços essenciais do Centro de Serviços Compartilhados relacionados à fiscalização</t>
  </si>
  <si>
    <t>Assegurar o funcionamento dos serviços essenciais do Centro de Serviços Compartilhados relacionados ao atendimento</t>
  </si>
  <si>
    <t>Agilidade e controle do procedimento de cobrança, dívida ativa e execução judicial dos inadimplentes</t>
  </si>
  <si>
    <t>Acrescentou: "Estimular a produção..."</t>
  </si>
  <si>
    <t>Retirou: "Fomentar o acesso..."</t>
  </si>
  <si>
    <t>FA</t>
  </si>
  <si>
    <t>Viabilizar a operação dos Caus Básicos com a  estrutura mínima de funcionamento estabelecida pelo CAU</t>
  </si>
  <si>
    <t>Contribuir com o conhecimento da Comissão e  odesenvolvimento de suas atividades; e tomar  conhecimento sobre os trabalhos realizados no âmbito da CED/BR e CEP/BR</t>
  </si>
  <si>
    <t>Contribuir com o conhecimento da Comissão e  o desenvolvimento de suas atividades; e tomar  conhecimento sobre os trabalhos realizados no âmbito da CED/BR e CEP/BR</t>
  </si>
  <si>
    <t>Contribuir com o conhecimento da Comissão e  o desenvolvimento de suas atividades; e tomar  conhecimento sobre os trabalhos realizados no âmbito da CPUA/BR e CPP/BR</t>
  </si>
  <si>
    <t>Realizar eventos voltados ao profissional e sociedade. Sendo: 1 debate, 2 palestras, 1 curso e 1 congresso voltados ao público alvo do conselho</t>
  </si>
  <si>
    <t xml:space="preserve"> Viabilizar a utilização da ATHIS como empreendedorismo na arquitetura e urbanismo e promover a importância da Arquitetura e Urbanismo para todos</t>
  </si>
  <si>
    <t xml:space="preserve">Oriento o aprimoramento das informações da seguinte foma:
deverá constar as Reuniões Ordinárias,
 Reuniões Extraordinárias,
 Reuniões Técnicas, 
Treinamento em Brasília (Coordenador e Assessor da Comissão) e 
Reunião de Avaliação em Brasília (Coordenador e Assessor da Comissão) de acordo com as Resoluções citadas abaixo e o Calendário eleitoral.
RESOLUÇÃO Nº 139, DE 28 DE ABRIL DE 2017 – ANEXO I
Seção VI
Das Comissões eleitorais
Art. 125. A Comissão Eleitoral Nacional, do CAU/BR (CEN-CAU/BR), terá caráter permanente, e as Comissões Eleitorais das Unidades da Federação (CE-CAU/UF) terão caráter temporário. 
Art. 126. A composição e as competências da Comissão Eleitoral Nacional e das Comissões Eleitorais das Unidades da Federação serão regulamentadas por atos normativos do CAU/BR. 
Art. 127. A organização e a ordem dos trabalhos das comissões eleitorais obedecerão à regulamentação estabelecida para o funcionamento das reuniões das comissões ordinárias, no CAU/BR, e de comissão temporária, nos CAU/UF, com adaptações.
RESOLUÇÃO N° 179, DE 22 DE AGOSTO DE 2019
SEÇÃO III
DA INSTITUIÇÃO E COMPOSIÇÃO DAS CE-UF
Art. 38. Os plenários dos CAU/UF instituirão as respectivas CE-UF e elegerão seus membros com a composição prevista no art. 3º, II, no prazo estabelecido no Calendário eleitoral. 
§ 1º O coordenador da CE-UF será eleito pelo plenário do respectivo CAU/UF, e o coordenador adjunto será eleito pelos integrantes da comissão, dentre seus membros. 
§ 2º O coordenador da CE-UF comunicará à CEN-CAU/BR a composição da respectiva CE-UF instituída e eleita na forma do caput e § 1º, no prazo estabelecido no Calendário eleitoral.
</t>
  </si>
  <si>
    <t>ok</t>
  </si>
  <si>
    <t xml:space="preserve"> Comissão de Planejamento Administração e Finanças do CAU/TO - CPAF/TO</t>
  </si>
  <si>
    <t>Comissão de Ética e Disciplina e  Exercício Profissional - CEDEP/TO</t>
  </si>
  <si>
    <t xml:space="preserve"> Comissão de Ensino e Formação do CAU/TO - CEF/TO</t>
  </si>
  <si>
    <t xml:space="preserve"> Comissão de Políticas Públicas Urbanas e Ambientais do TO - CPPUA/TO</t>
  </si>
  <si>
    <t xml:space="preserve">Gerência Administrativa e Financeira </t>
  </si>
  <si>
    <t xml:space="preserve">Aquisição de passagens aéreas  para participação em 2 eventos </t>
  </si>
  <si>
    <t>Aquisição de passagens aéreas para participação em 9 eventos 
Estimativa de aquisição de 18 bilhetes aéreos</t>
  </si>
  <si>
    <t>Aquisição de passagens aéreas para participação em 2 eventos</t>
  </si>
  <si>
    <t>Aquisição de passagens aéreas para participação em 4 eventos</t>
  </si>
  <si>
    <t>Participação em eventos do CAU</t>
  </si>
  <si>
    <t>Aquisição de passagens aéreas para participação em 6 cursos de capacitação ou treinamentos</t>
  </si>
  <si>
    <t>Não houve meta estipulada para 2019</t>
  </si>
  <si>
    <t>Obs:  9 municípios possuem plano diretor concluído, destes apenas 1 possui plano urbanístico. A Meta inicial é trabalhar para que pelo menos mais um município faça o plano urbanístico em 2020</t>
  </si>
  <si>
    <t>Manter as atividades da Comissão de Planejamento Administração e Finanças do CAU/TO - CPAFI/TO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</si>
</sst>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* #,##0.00_);_(* \(#,##0.00\);_(* &quot;-&quot;??_);_(@_)"/>
    <numFmt numFmtId="166" formatCode="0.0"/>
    <numFmt numFmtId="167" formatCode="#,##0.0"/>
    <numFmt numFmtId="168" formatCode="#,##0.0_ ;\-#,##0.0\ "/>
    <numFmt numFmtId="169" formatCode="0.0%"/>
    <numFmt numFmtId="170" formatCode="_-* #,##0_-;\-* #,##0_-;_-* &quot;-&quot;??_-;_-@_-"/>
    <numFmt numFmtId="171" formatCode="_(* #,##0_);_(* \(#,##0\);_(* &quot;-&quot;??_);_(@_)"/>
    <numFmt numFmtId="172" formatCode="_(* #,##0.0_);_(* \(#,##0.0\);_(* &quot;-&quot;??_);_(@_)"/>
    <numFmt numFmtId="173" formatCode="_-* #,##0.0_-;\-* #,##0.0_-;_-* &quot;-&quot;_-;_-@_-"/>
    <numFmt numFmtId="174" formatCode="_-* #,##0.00_-;\-* #,##0.00_-;_-* &quot;-&quot;_-;_-@_-"/>
    <numFmt numFmtId="175" formatCode="&quot;R$&quot;\ #,##0.00"/>
  </numFmts>
  <fonts count="95" x14ac:knownFonts="1">
    <font>
      <sz val="11"/>
      <color theme="1"/>
      <name val="Calibri"/>
      <family val="2"/>
      <scheme val="minor"/>
    </font>
    <font>
      <sz val="12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rgb="FF9C6500"/>
      <name val="Calibri"/>
      <family val="2"/>
      <scheme val="minor"/>
    </font>
    <font>
      <b/>
      <sz val="14"/>
      <color rgb="FF000000"/>
      <name val="Arial Narrow"/>
      <family val="2"/>
    </font>
    <font>
      <sz val="14"/>
      <color theme="1"/>
      <name val="Arial Narrow"/>
      <family val="2"/>
    </font>
    <font>
      <sz val="13"/>
      <color theme="1"/>
      <name val="Arial Narrow"/>
      <family val="2"/>
    </font>
    <font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4.9989318521683403E-2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Arial Narrow"/>
      <family val="2"/>
    </font>
    <font>
      <sz val="12"/>
      <color rgb="FF000000"/>
      <name val="Calibri"/>
      <family val="2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12"/>
      <color indexed="81"/>
      <name val="Tahoma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1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20"/>
      <color theme="1" tint="0.499984740745262"/>
      <name val="Calibri"/>
      <family val="2"/>
      <scheme val="minor"/>
    </font>
    <font>
      <b/>
      <sz val="12"/>
      <color rgb="FFFFFFFF"/>
      <name val="Calibri"/>
      <family val="2"/>
    </font>
    <font>
      <sz val="10"/>
      <color rgb="FF000000"/>
      <name val="Calibri"/>
      <family val="2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8" tint="-0.499984740745262"/>
      <name val="Calibri"/>
      <family val="2"/>
      <scheme val="minor"/>
    </font>
    <font>
      <b/>
      <sz val="12"/>
      <color rgb="FF000000"/>
      <name val="Calibri"/>
      <family val="2"/>
    </font>
    <font>
      <b/>
      <i/>
      <sz val="11"/>
      <color theme="1"/>
      <name val="Calibri"/>
      <family val="2"/>
      <scheme val="minor"/>
    </font>
    <font>
      <b/>
      <sz val="14"/>
      <color rgb="FFFF0000"/>
      <name val="Calibri"/>
      <family val="2"/>
    </font>
    <font>
      <b/>
      <sz val="14"/>
      <color indexed="21"/>
      <name val="Calibri"/>
      <family val="2"/>
    </font>
    <font>
      <b/>
      <sz val="14"/>
      <color indexed="10"/>
      <name val="Calibri"/>
      <family val="2"/>
    </font>
    <font>
      <b/>
      <sz val="14"/>
      <color indexed="8"/>
      <name val="Calibri"/>
      <family val="2"/>
    </font>
    <font>
      <b/>
      <sz val="14"/>
      <color indexed="57"/>
      <name val="Calibri"/>
      <family val="2"/>
    </font>
    <font>
      <b/>
      <sz val="14"/>
      <color rgb="FF008080"/>
      <name val="Calibri"/>
      <family val="2"/>
      <scheme val="minor"/>
    </font>
    <font>
      <sz val="11"/>
      <color indexed="81"/>
      <name val="Tahoma"/>
      <family val="2"/>
    </font>
    <font>
      <b/>
      <sz val="14"/>
      <color rgb="FF008080"/>
      <name val="Calibri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name val="Calibri"/>
      <family val="2"/>
      <charset val="1"/>
    </font>
    <font>
      <sz val="11"/>
      <color rgb="FF000000"/>
      <name val="Calibri"/>
      <family val="2"/>
      <charset val="1"/>
    </font>
    <font>
      <sz val="20"/>
      <name val="Calibri"/>
      <family val="2"/>
      <charset val="1"/>
    </font>
    <font>
      <sz val="20"/>
      <name val="Arial"/>
      <family val="2"/>
    </font>
    <font>
      <sz val="12"/>
      <color rgb="FFFF0000"/>
      <name val="Calibri"/>
      <family val="2"/>
      <scheme val="minor"/>
    </font>
    <font>
      <b/>
      <sz val="15"/>
      <color indexed="81"/>
      <name val="Segoe UI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sz val="14"/>
      <color theme="1"/>
      <name val="Arial Narrow"/>
      <family val="2"/>
    </font>
    <font>
      <sz val="18"/>
      <color theme="0"/>
      <name val="Calibri"/>
      <family val="2"/>
      <scheme val="minor"/>
    </font>
    <font>
      <b/>
      <sz val="14"/>
      <color rgb="FF009999"/>
      <name val="Calibri"/>
      <family val="2"/>
    </font>
    <font>
      <b/>
      <sz val="10"/>
      <color theme="1"/>
      <name val="Calibri"/>
      <family val="2"/>
      <scheme val="minor"/>
    </font>
    <font>
      <b/>
      <sz val="14"/>
      <color indexed="81"/>
      <name val="Tahoma"/>
      <family val="2"/>
    </font>
    <font>
      <b/>
      <sz val="16"/>
      <color theme="0"/>
      <name val="Calibri"/>
      <family val="2"/>
    </font>
    <font>
      <sz val="11"/>
      <color rgb="FF000000"/>
      <name val="Calibri"/>
      <family val="2"/>
    </font>
    <font>
      <b/>
      <sz val="18"/>
      <color theme="0"/>
      <name val="Calibri"/>
      <family val="2"/>
      <scheme val="minor"/>
    </font>
    <font>
      <b/>
      <sz val="18"/>
      <color theme="0" tint="-4.9989318521683403E-2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 Narrow"/>
      <family val="2"/>
    </font>
    <font>
      <b/>
      <sz val="14"/>
      <color indexed="81"/>
      <name val="Calibri Light"/>
      <family val="2"/>
      <scheme val="major"/>
    </font>
    <font>
      <sz val="15"/>
      <color theme="1" tint="0.499984740745262"/>
      <name val="Calibri"/>
      <family val="2"/>
      <scheme val="minor"/>
    </font>
    <font>
      <b/>
      <sz val="13"/>
      <color indexed="10"/>
      <name val="Tahoma"/>
      <family val="2"/>
    </font>
    <font>
      <sz val="15"/>
      <color theme="1"/>
      <name val="Calibri"/>
      <family val="2"/>
      <scheme val="minor"/>
    </font>
    <font>
      <sz val="50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indexed="81"/>
      <name val="Segoe UI"/>
      <family val="2"/>
    </font>
    <font>
      <sz val="16"/>
      <color indexed="81"/>
      <name val="Segoe UI"/>
      <family val="2"/>
    </font>
    <font>
      <b/>
      <sz val="18"/>
      <color indexed="81"/>
      <name val="Segoe UI"/>
      <family val="2"/>
    </font>
    <font>
      <sz val="18"/>
      <color indexed="81"/>
      <name val="Segoe UI"/>
      <family val="2"/>
    </font>
    <font>
      <b/>
      <sz val="12"/>
      <color theme="0"/>
      <name val="Calibri"/>
      <family val="2"/>
    </font>
    <font>
      <sz val="36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BDD1C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Gray">
        <bgColor rgb="FF009999"/>
      </patternFill>
    </fill>
    <fill>
      <patternFill patternType="solid">
        <fgColor rgb="FF00808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F2F2F2"/>
      </patternFill>
    </fill>
    <fill>
      <patternFill patternType="solid">
        <fgColor rgb="FFFFFFFF"/>
        <bgColor rgb="FFF2F2F2"/>
      </patternFill>
    </fill>
    <fill>
      <patternFill patternType="solid">
        <fgColor rgb="FFFFFAD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666"/>
        <bgColor indexed="64"/>
      </patternFill>
    </fill>
    <fill>
      <patternFill patternType="solid">
        <fgColor rgb="FFDFF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10" fillId="7" borderId="0" applyNumberFormat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4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7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/>
    <xf numFmtId="0" fontId="2" fillId="0" borderId="0"/>
    <xf numFmtId="44" fontId="2" fillId="0" borderId="0" applyFont="0" applyFill="0" applyBorder="0" applyAlignment="0" applyProtection="0"/>
  </cellStyleXfs>
  <cellXfs count="585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3" fillId="3" borderId="0" xfId="0" applyFont="1" applyFill="1" applyBorder="1" applyAlignment="1">
      <alignment wrapText="1"/>
    </xf>
    <xf numFmtId="0" fontId="0" fillId="0" borderId="0" xfId="0" applyBorder="1"/>
    <xf numFmtId="0" fontId="7" fillId="0" borderId="0" xfId="0" applyFont="1" applyAlignment="1"/>
    <xf numFmtId="0" fontId="5" fillId="3" borderId="0" xfId="0" applyFont="1" applyFill="1" applyBorder="1" applyAlignment="1">
      <alignment vertical="center"/>
    </xf>
    <xf numFmtId="0" fontId="3" fillId="6" borderId="0" xfId="0" applyFont="1" applyFill="1"/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Fill="1"/>
    <xf numFmtId="0" fontId="5" fillId="0" borderId="0" xfId="0" applyFont="1"/>
    <xf numFmtId="0" fontId="5" fillId="0" borderId="0" xfId="0" applyFont="1" applyFill="1"/>
    <xf numFmtId="0" fontId="11" fillId="0" borderId="0" xfId="0" applyFont="1"/>
    <xf numFmtId="0" fontId="12" fillId="0" borderId="0" xfId="0" applyFont="1"/>
    <xf numFmtId="0" fontId="13" fillId="0" borderId="0" xfId="1" applyFont="1" applyFill="1"/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4" fillId="0" borderId="0" xfId="0" applyFont="1"/>
    <xf numFmtId="168" fontId="18" fillId="5" borderId="2" xfId="3" applyNumberFormat="1" applyFont="1" applyFill="1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168" fontId="17" fillId="5" borderId="2" xfId="3" applyNumberFormat="1" applyFont="1" applyFill="1" applyBorder="1" applyAlignment="1">
      <alignment horizontal="right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1" fillId="3" borderId="0" xfId="0" applyFont="1" applyFill="1"/>
    <xf numFmtId="0" fontId="11" fillId="3" borderId="0" xfId="0" applyFont="1" applyFill="1" applyAlignment="1">
      <alignment horizontal="center"/>
    </xf>
    <xf numFmtId="0" fontId="31" fillId="9" borderId="0" xfId="0" applyFont="1" applyFill="1" applyAlignment="1"/>
    <xf numFmtId="0" fontId="5" fillId="3" borderId="0" xfId="0" applyFont="1" applyFill="1"/>
    <xf numFmtId="41" fontId="33" fillId="3" borderId="24" xfId="0" applyNumberFormat="1" applyFont="1" applyFill="1" applyBorder="1" applyAlignment="1">
      <alignment horizontal="right" vertical="center" wrapText="1" readingOrder="1"/>
    </xf>
    <xf numFmtId="0" fontId="4" fillId="3" borderId="0" xfId="0" applyFont="1" applyFill="1" applyBorder="1" applyAlignment="1">
      <alignment horizontal="center" vertical="center" textRotation="90"/>
    </xf>
    <xf numFmtId="0" fontId="4" fillId="3" borderId="0" xfId="0" applyFont="1" applyFill="1" applyBorder="1" applyAlignment="1">
      <alignment horizontal="center" vertical="center" wrapText="1" readingOrder="1"/>
    </xf>
    <xf numFmtId="0" fontId="5" fillId="3" borderId="0" xfId="0" applyFont="1" applyFill="1" applyBorder="1"/>
    <xf numFmtId="0" fontId="4" fillId="3" borderId="0" xfId="0" applyFont="1" applyFill="1" applyBorder="1" applyAlignment="1">
      <alignment vertical="center" wrapText="1" readingOrder="1"/>
    </xf>
    <xf numFmtId="0" fontId="5" fillId="3" borderId="0" xfId="0" applyFont="1" applyFill="1" applyAlignment="1">
      <alignment wrapText="1"/>
    </xf>
    <xf numFmtId="0" fontId="8" fillId="0" borderId="0" xfId="0" applyFont="1" applyAlignment="1">
      <alignment wrapText="1"/>
    </xf>
    <xf numFmtId="167" fontId="8" fillId="0" borderId="0" xfId="0" applyNumberFormat="1" applyFont="1" applyAlignment="1">
      <alignment wrapText="1"/>
    </xf>
    <xf numFmtId="0" fontId="3" fillId="3" borderId="0" xfId="0" applyFont="1" applyFill="1"/>
    <xf numFmtId="0" fontId="24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0" fontId="22" fillId="0" borderId="0" xfId="0" applyFont="1" applyFill="1" applyBorder="1" applyAlignment="1"/>
    <xf numFmtId="0" fontId="24" fillId="8" borderId="12" xfId="0" applyFont="1" applyFill="1" applyBorder="1" applyAlignment="1" applyProtection="1">
      <alignment vertical="center"/>
      <protection locked="0"/>
    </xf>
    <xf numFmtId="0" fontId="24" fillId="8" borderId="12" xfId="0" applyFont="1" applyFill="1" applyBorder="1" applyAlignment="1"/>
    <xf numFmtId="0" fontId="3" fillId="0" borderId="0" xfId="0" applyFont="1" applyBorder="1" applyAlignment="1"/>
    <xf numFmtId="0" fontId="29" fillId="3" borderId="0" xfId="0" applyFont="1" applyFill="1" applyBorder="1" applyAlignment="1">
      <alignment horizontal="left" wrapText="1"/>
    </xf>
    <xf numFmtId="0" fontId="34" fillId="3" borderId="2" xfId="0" applyFont="1" applyFill="1" applyBorder="1" applyAlignment="1" applyProtection="1">
      <alignment horizontal="center" vertical="center" wrapText="1"/>
      <protection locked="0"/>
    </xf>
    <xf numFmtId="0" fontId="34" fillId="3" borderId="2" xfId="0" applyFont="1" applyFill="1" applyBorder="1" applyAlignment="1" applyProtection="1">
      <alignment vertical="center" wrapText="1"/>
      <protection locked="0"/>
    </xf>
    <xf numFmtId="0" fontId="5" fillId="3" borderId="21" xfId="0" applyFont="1" applyFill="1" applyBorder="1" applyAlignment="1">
      <alignment vertical="center"/>
    </xf>
    <xf numFmtId="0" fontId="5" fillId="3" borderId="22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29" xfId="0" applyFont="1" applyFill="1" applyBorder="1" applyAlignment="1">
      <alignment vertical="center"/>
    </xf>
    <xf numFmtId="0" fontId="5" fillId="3" borderId="30" xfId="0" applyFont="1" applyFill="1" applyBorder="1" applyAlignment="1">
      <alignment vertical="center"/>
    </xf>
    <xf numFmtId="0" fontId="5" fillId="3" borderId="31" xfId="0" applyFont="1" applyFill="1" applyBorder="1" applyAlignment="1">
      <alignment vertical="center"/>
    </xf>
    <xf numFmtId="0" fontId="5" fillId="3" borderId="32" xfId="0" applyFont="1" applyFill="1" applyBorder="1" applyAlignment="1">
      <alignment vertical="center"/>
    </xf>
    <xf numFmtId="0" fontId="5" fillId="3" borderId="33" xfId="0" applyFont="1" applyFill="1" applyBorder="1" applyAlignment="1">
      <alignment vertical="center"/>
    </xf>
    <xf numFmtId="0" fontId="23" fillId="8" borderId="16" xfId="0" applyFont="1" applyFill="1" applyBorder="1" applyAlignment="1" applyProtection="1">
      <alignment vertical="center"/>
      <protection locked="0"/>
    </xf>
    <xf numFmtId="0" fontId="23" fillId="8" borderId="16" xfId="0" applyFont="1" applyFill="1" applyBorder="1" applyAlignment="1">
      <alignment vertical="center"/>
    </xf>
    <xf numFmtId="166" fontId="4" fillId="4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vertical="center" wrapText="1"/>
    </xf>
    <xf numFmtId="166" fontId="4" fillId="13" borderId="2" xfId="0" applyNumberFormat="1" applyFont="1" applyFill="1" applyBorder="1" applyAlignment="1">
      <alignment vertical="center" wrapText="1"/>
    </xf>
    <xf numFmtId="166" fontId="4" fillId="3" borderId="2" xfId="0" applyNumberFormat="1" applyFont="1" applyFill="1" applyBorder="1" applyAlignment="1">
      <alignment vertical="center" wrapText="1"/>
    </xf>
    <xf numFmtId="0" fontId="11" fillId="0" borderId="6" xfId="0" applyFont="1" applyBorder="1"/>
    <xf numFmtId="0" fontId="11" fillId="0" borderId="7" xfId="0" applyFont="1" applyBorder="1"/>
    <xf numFmtId="0" fontId="15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right" vertical="center"/>
    </xf>
    <xf numFmtId="43" fontId="18" fillId="3" borderId="0" xfId="0" applyNumberFormat="1" applyFont="1" applyFill="1" applyBorder="1" applyAlignment="1">
      <alignment horizontal="right" wrapText="1"/>
    </xf>
    <xf numFmtId="0" fontId="0" fillId="0" borderId="0" xfId="0" applyBorder="1" applyAlignment="1">
      <alignment horizontal="center"/>
    </xf>
    <xf numFmtId="0" fontId="8" fillId="3" borderId="2" xfId="0" applyFont="1" applyFill="1" applyBorder="1" applyAlignment="1" applyProtection="1">
      <alignment vertical="center" wrapText="1"/>
      <protection locked="0"/>
    </xf>
    <xf numFmtId="14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167" fontId="8" fillId="4" borderId="2" xfId="0" applyNumberFormat="1" applyFont="1" applyFill="1" applyBorder="1" applyAlignment="1">
      <alignment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0" xfId="0" applyFont="1" applyFill="1" applyBorder="1" applyAlignment="1">
      <alignment horizontal="left" vertical="center" wrapText="1"/>
    </xf>
    <xf numFmtId="41" fontId="24" fillId="13" borderId="2" xfId="0" applyNumberFormat="1" applyFont="1" applyFill="1" applyBorder="1" applyAlignment="1">
      <alignment vertical="center" wrapText="1"/>
    </xf>
    <xf numFmtId="166" fontId="24" fillId="13" borderId="2" xfId="0" applyNumberFormat="1" applyFont="1" applyFill="1" applyBorder="1" applyAlignment="1">
      <alignment vertical="center" wrapText="1"/>
    </xf>
    <xf numFmtId="0" fontId="21" fillId="3" borderId="0" xfId="0" applyFont="1" applyFill="1"/>
    <xf numFmtId="0" fontId="21" fillId="3" borderId="0" xfId="1" applyFont="1" applyFill="1"/>
    <xf numFmtId="0" fontId="3" fillId="0" borderId="0" xfId="0" applyFont="1" applyBorder="1" applyAlignment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  <protection locked="0"/>
    </xf>
    <xf numFmtId="171" fontId="8" fillId="3" borderId="2" xfId="3" applyNumberFormat="1" applyFont="1" applyFill="1" applyBorder="1" applyAlignment="1" applyProtection="1">
      <alignment vertical="center" wrapText="1"/>
      <protection locked="0"/>
    </xf>
    <xf numFmtId="171" fontId="8" fillId="4" borderId="2" xfId="3" applyNumberFormat="1" applyFont="1" applyFill="1" applyBorder="1" applyAlignment="1">
      <alignment vertical="center" wrapText="1"/>
    </xf>
    <xf numFmtId="171" fontId="28" fillId="8" borderId="2" xfId="3" applyNumberFormat="1" applyFont="1" applyFill="1" applyBorder="1" applyAlignment="1">
      <alignment horizontal="right" wrapText="1"/>
    </xf>
    <xf numFmtId="167" fontId="28" fillId="8" borderId="2" xfId="0" applyNumberFormat="1" applyFont="1" applyFill="1" applyBorder="1" applyAlignment="1">
      <alignment horizontal="right" wrapText="1"/>
    </xf>
    <xf numFmtId="0" fontId="26" fillId="3" borderId="0" xfId="0" applyFont="1" applyFill="1" applyBorder="1" applyAlignment="1">
      <alignment wrapText="1"/>
    </xf>
    <xf numFmtId="49" fontId="8" fillId="3" borderId="1" xfId="0" applyNumberFormat="1" applyFont="1" applyFill="1" applyBorder="1" applyAlignment="1">
      <alignment wrapText="1"/>
    </xf>
    <xf numFmtId="0" fontId="28" fillId="8" borderId="2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wrapText="1"/>
    </xf>
    <xf numFmtId="0" fontId="8" fillId="0" borderId="0" xfId="0" applyFont="1" applyBorder="1" applyAlignment="1">
      <alignment horizontal="center" wrapText="1"/>
    </xf>
    <xf numFmtId="0" fontId="28" fillId="8" borderId="2" xfId="0" applyFont="1" applyFill="1" applyBorder="1" applyAlignment="1">
      <alignment vertical="center" wrapText="1"/>
    </xf>
    <xf numFmtId="0" fontId="46" fillId="14" borderId="2" xfId="0" applyFont="1" applyFill="1" applyBorder="1" applyAlignment="1">
      <alignment horizontal="center" vertical="center" wrapText="1"/>
    </xf>
    <xf numFmtId="0" fontId="32" fillId="8" borderId="2" xfId="0" applyFont="1" applyFill="1" applyBorder="1" applyAlignment="1">
      <alignment horizontal="center" vertical="center" wrapText="1"/>
    </xf>
    <xf numFmtId="0" fontId="46" fillId="14" borderId="2" xfId="0" applyFont="1" applyFill="1" applyBorder="1" applyAlignment="1">
      <alignment vertical="center" wrapText="1"/>
    </xf>
    <xf numFmtId="0" fontId="46" fillId="14" borderId="2" xfId="0" applyFont="1" applyFill="1" applyBorder="1" applyAlignment="1">
      <alignment vertical="center"/>
    </xf>
    <xf numFmtId="173" fontId="35" fillId="4" borderId="2" xfId="0" applyNumberFormat="1" applyFont="1" applyFill="1" applyBorder="1" applyAlignment="1" applyProtection="1">
      <alignment vertical="center" wrapText="1"/>
      <protection locked="0"/>
    </xf>
    <xf numFmtId="173" fontId="23" fillId="8" borderId="14" xfId="0" applyNumberFormat="1" applyFont="1" applyFill="1" applyBorder="1" applyAlignment="1">
      <alignment vertical="center" wrapText="1"/>
    </xf>
    <xf numFmtId="173" fontId="34" fillId="4" borderId="13" xfId="0" applyNumberFormat="1" applyFont="1" applyFill="1" applyBorder="1" applyAlignment="1">
      <alignment vertical="center" wrapText="1"/>
    </xf>
    <xf numFmtId="173" fontId="51" fillId="15" borderId="2" xfId="0" applyNumberFormat="1" applyFont="1" applyFill="1" applyBorder="1" applyAlignment="1">
      <alignment vertical="center" wrapText="1"/>
    </xf>
    <xf numFmtId="170" fontId="8" fillId="3" borderId="2" xfId="0" applyNumberFormat="1" applyFont="1" applyFill="1" applyBorder="1" applyAlignment="1" applyProtection="1">
      <alignment vertical="center" wrapText="1"/>
      <protection locked="0"/>
    </xf>
    <xf numFmtId="3" fontId="28" fillId="8" borderId="2" xfId="0" applyNumberFormat="1" applyFont="1" applyFill="1" applyBorder="1" applyAlignment="1">
      <alignment horizontal="right" wrapText="1"/>
    </xf>
    <xf numFmtId="171" fontId="28" fillId="8" borderId="2" xfId="3" applyNumberFormat="1" applyFont="1" applyFill="1" applyBorder="1" applyAlignment="1">
      <alignment horizontal="right" vertical="center" wrapText="1"/>
    </xf>
    <xf numFmtId="167" fontId="28" fillId="8" borderId="2" xfId="0" applyNumberFormat="1" applyFont="1" applyFill="1" applyBorder="1" applyAlignment="1">
      <alignment horizontal="right" vertical="center" wrapText="1"/>
    </xf>
    <xf numFmtId="167" fontId="8" fillId="4" borderId="2" xfId="0" applyNumberFormat="1" applyFont="1" applyFill="1" applyBorder="1" applyAlignment="1" applyProtection="1">
      <alignment vertical="center" wrapText="1"/>
      <protection locked="0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6" xfId="0" applyBorder="1"/>
    <xf numFmtId="0" fontId="0" fillId="0" borderId="7" xfId="0" applyBorder="1"/>
    <xf numFmtId="41" fontId="25" fillId="8" borderId="2" xfId="0" applyNumberFormat="1" applyFont="1" applyFill="1" applyBorder="1" applyAlignment="1">
      <alignment horizontal="center" vertical="center" wrapText="1"/>
    </xf>
    <xf numFmtId="41" fontId="9" fillId="3" borderId="0" xfId="0" applyNumberFormat="1" applyFont="1" applyFill="1" applyBorder="1" applyAlignment="1">
      <alignment horizontal="center" vertical="center" wrapText="1"/>
    </xf>
    <xf numFmtId="172" fontId="9" fillId="4" borderId="2" xfId="3" applyNumberFormat="1" applyFont="1" applyFill="1" applyBorder="1" applyAlignment="1">
      <alignment horizontal="left" vertical="center" wrapText="1"/>
    </xf>
    <xf numFmtId="172" fontId="9" fillId="4" borderId="2" xfId="3" applyNumberFormat="1" applyFont="1" applyFill="1" applyBorder="1" applyAlignment="1">
      <alignment horizontal="right" vertical="center" wrapText="1"/>
    </xf>
    <xf numFmtId="172" fontId="25" fillId="8" borderId="2" xfId="3" applyNumberFormat="1" applyFont="1" applyFill="1" applyBorder="1" applyAlignment="1">
      <alignment horizontal="left" vertical="center" wrapText="1"/>
    </xf>
    <xf numFmtId="170" fontId="9" fillId="3" borderId="0" xfId="3" applyNumberFormat="1" applyFont="1" applyFill="1" applyBorder="1" applyAlignment="1">
      <alignment horizontal="right" vertical="center" wrapText="1"/>
    </xf>
    <xf numFmtId="165" fontId="9" fillId="3" borderId="0" xfId="3" applyFont="1" applyFill="1" applyBorder="1" applyAlignment="1">
      <alignment horizontal="left" vertical="center" wrapText="1"/>
    </xf>
    <xf numFmtId="170" fontId="9" fillId="3" borderId="0" xfId="3" applyNumberFormat="1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 wrapText="1"/>
    </xf>
    <xf numFmtId="41" fontId="9" fillId="3" borderId="0" xfId="0" applyNumberFormat="1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center" vertical="center" textRotation="90"/>
    </xf>
    <xf numFmtId="0" fontId="9" fillId="3" borderId="0" xfId="0" applyFont="1" applyFill="1" applyBorder="1" applyAlignment="1">
      <alignment horizontal="left" vertical="center" wrapText="1"/>
    </xf>
    <xf numFmtId="41" fontId="9" fillId="3" borderId="2" xfId="0" applyNumberFormat="1" applyFont="1" applyFill="1" applyBorder="1" applyAlignment="1">
      <alignment horizontal="center" vertical="center" wrapText="1"/>
    </xf>
    <xf numFmtId="41" fontId="9" fillId="11" borderId="2" xfId="0" applyNumberFormat="1" applyFont="1" applyFill="1" applyBorder="1" applyAlignment="1">
      <alignment horizontal="center" vertical="center" wrapText="1"/>
    </xf>
    <xf numFmtId="169" fontId="9" fillId="4" borderId="2" xfId="3" applyNumberFormat="1" applyFont="1" applyFill="1" applyBorder="1" applyAlignment="1">
      <alignment horizontal="right" vertical="center" wrapText="1"/>
    </xf>
    <xf numFmtId="169" fontId="9" fillId="4" borderId="2" xfId="2" applyNumberFormat="1" applyFont="1" applyFill="1" applyBorder="1" applyAlignment="1">
      <alignment horizontal="right" vertical="center" wrapText="1"/>
    </xf>
    <xf numFmtId="172" fontId="9" fillId="4" borderId="2" xfId="3" applyNumberFormat="1" applyFont="1" applyFill="1" applyBorder="1" applyAlignment="1" applyProtection="1">
      <alignment horizontal="left" vertical="center" wrapText="1"/>
    </xf>
    <xf numFmtId="0" fontId="32" fillId="8" borderId="2" xfId="0" applyFont="1" applyFill="1" applyBorder="1" applyAlignment="1">
      <alignment horizontal="center" vertical="center" wrapText="1"/>
    </xf>
    <xf numFmtId="0" fontId="62" fillId="0" borderId="0" xfId="0" applyFont="1"/>
    <xf numFmtId="0" fontId="62" fillId="3" borderId="0" xfId="0" applyFont="1" applyFill="1" applyAlignment="1">
      <alignment horizontal="center"/>
    </xf>
    <xf numFmtId="0" fontId="27" fillId="3" borderId="0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48" fillId="3" borderId="38" xfId="0" applyFont="1" applyFill="1" applyBorder="1" applyAlignment="1">
      <alignment horizontal="center" wrapText="1"/>
    </xf>
    <xf numFmtId="0" fontId="48" fillId="3" borderId="41" xfId="0" applyFont="1" applyFill="1" applyBorder="1" applyAlignment="1">
      <alignment horizontal="center" vertical="top" wrapText="1"/>
    </xf>
    <xf numFmtId="0" fontId="48" fillId="3" borderId="46" xfId="0" applyFont="1" applyFill="1" applyBorder="1" applyAlignment="1">
      <alignment horizontal="center" wrapText="1"/>
    </xf>
    <xf numFmtId="0" fontId="48" fillId="3" borderId="46" xfId="0" applyFont="1" applyFill="1" applyBorder="1" applyAlignment="1">
      <alignment horizontal="center" vertical="top" wrapText="1"/>
    </xf>
    <xf numFmtId="0" fontId="48" fillId="0" borderId="49" xfId="0" applyFont="1" applyBorder="1" applyAlignment="1">
      <alignment horizontal="center" wrapText="1"/>
    </xf>
    <xf numFmtId="0" fontId="48" fillId="0" borderId="50" xfId="0" applyFont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top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48" fillId="3" borderId="46" xfId="0" applyFont="1" applyFill="1" applyBorder="1" applyAlignment="1">
      <alignment horizontal="center" vertical="center" wrapText="1"/>
    </xf>
    <xf numFmtId="0" fontId="48" fillId="3" borderId="37" xfId="0" applyFont="1" applyFill="1" applyBorder="1" applyAlignment="1">
      <alignment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65" fillId="16" borderId="46" xfId="4" applyFont="1" applyFill="1" applyBorder="1" applyAlignment="1">
      <alignment horizontal="center" vertical="center" wrapText="1"/>
    </xf>
    <xf numFmtId="0" fontId="65" fillId="17" borderId="46" xfId="4" applyFont="1" applyFill="1" applyBorder="1" applyAlignment="1">
      <alignment horizontal="center" vertical="center" wrapText="1"/>
    </xf>
    <xf numFmtId="0" fontId="66" fillId="0" borderId="48" xfId="0" applyFont="1" applyBorder="1" applyAlignment="1">
      <alignment vertical="center" wrapText="1"/>
    </xf>
    <xf numFmtId="0" fontId="48" fillId="3" borderId="37" xfId="0" applyFont="1" applyFill="1" applyBorder="1" applyAlignment="1">
      <alignment horizontal="center" vertical="center" wrapText="1"/>
    </xf>
    <xf numFmtId="166" fontId="24" fillId="8" borderId="2" xfId="0" applyNumberFormat="1" applyFont="1" applyFill="1" applyBorder="1" applyAlignment="1">
      <alignment horizontal="center" vertical="center" wrapText="1"/>
    </xf>
    <xf numFmtId="41" fontId="24" fillId="8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61" fillId="0" borderId="0" xfId="0" applyFont="1" applyAlignment="1">
      <alignment wrapText="1"/>
    </xf>
    <xf numFmtId="0" fontId="61" fillId="0" borderId="0" xfId="0" applyFont="1" applyAlignment="1">
      <alignment vertical="center" wrapText="1"/>
    </xf>
    <xf numFmtId="0" fontId="61" fillId="3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vertical="center" wrapText="1"/>
    </xf>
    <xf numFmtId="0" fontId="69" fillId="0" borderId="0" xfId="0" applyFont="1"/>
    <xf numFmtId="0" fontId="32" fillId="8" borderId="2" xfId="0" applyFont="1" applyFill="1" applyBorder="1" applyAlignment="1">
      <alignment vertical="center"/>
    </xf>
    <xf numFmtId="0" fontId="32" fillId="3" borderId="0" xfId="0" applyFont="1" applyFill="1" applyBorder="1" applyAlignment="1">
      <alignment horizontal="center" vertical="center" wrapText="1"/>
    </xf>
    <xf numFmtId="0" fontId="74" fillId="0" borderId="12" xfId="0" applyFont="1" applyFill="1" applyBorder="1" applyAlignment="1">
      <alignment horizontal="left" vertical="top" wrapText="1"/>
    </xf>
    <xf numFmtId="0" fontId="24" fillId="8" borderId="0" xfId="0" applyFont="1" applyFill="1" applyBorder="1" applyAlignment="1"/>
    <xf numFmtId="0" fontId="76" fillId="20" borderId="2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 wrapText="1"/>
    </xf>
    <xf numFmtId="0" fontId="34" fillId="18" borderId="2" xfId="0" applyFont="1" applyFill="1" applyBorder="1" applyAlignment="1">
      <alignment horizontal="center" vertical="center"/>
    </xf>
    <xf numFmtId="0" fontId="34" fillId="18" borderId="2" xfId="0" applyFont="1" applyFill="1" applyBorder="1" applyAlignment="1">
      <alignment horizontal="center" vertical="center" wrapText="1"/>
    </xf>
    <xf numFmtId="0" fontId="34" fillId="18" borderId="2" xfId="0" quotePrefix="1" applyFont="1" applyFill="1" applyBorder="1" applyAlignment="1">
      <alignment horizontal="center" vertical="center" wrapText="1"/>
    </xf>
    <xf numFmtId="0" fontId="34" fillId="0" borderId="0" xfId="0" applyFont="1"/>
    <xf numFmtId="0" fontId="8" fillId="9" borderId="2" xfId="0" applyFont="1" applyFill="1" applyBorder="1" applyAlignment="1" applyProtection="1">
      <alignment horizontal="center" vertical="center" wrapText="1"/>
      <protection locked="0"/>
    </xf>
    <xf numFmtId="0" fontId="8" fillId="9" borderId="2" xfId="0" applyFont="1" applyFill="1" applyBorder="1" applyAlignment="1" applyProtection="1">
      <alignment vertical="center" wrapText="1"/>
      <protection locked="0"/>
    </xf>
    <xf numFmtId="14" fontId="8" fillId="9" borderId="2" xfId="0" applyNumberFormat="1" applyFont="1" applyFill="1" applyBorder="1" applyAlignment="1" applyProtection="1">
      <alignment horizontal="center" vertical="center" wrapText="1"/>
      <protection locked="0"/>
    </xf>
    <xf numFmtId="0" fontId="28" fillId="22" borderId="2" xfId="0" applyFont="1" applyFill="1" applyBorder="1" applyAlignment="1">
      <alignment horizontal="center" vertical="center" wrapText="1"/>
    </xf>
    <xf numFmtId="0" fontId="62" fillId="21" borderId="2" xfId="0" applyFont="1" applyFill="1" applyBorder="1" applyAlignment="1">
      <alignment horizontal="left" vertical="center" wrapText="1"/>
    </xf>
    <xf numFmtId="0" fontId="62" fillId="18" borderId="2" xfId="0" applyFont="1" applyFill="1" applyBorder="1" applyAlignment="1">
      <alignment horizontal="left" vertical="center" wrapText="1"/>
    </xf>
    <xf numFmtId="0" fontId="0" fillId="9" borderId="0" xfId="0" applyFill="1" applyAlignment="1">
      <alignment horizontal="center" vertical="center" wrapText="1"/>
    </xf>
    <xf numFmtId="0" fontId="0" fillId="0" borderId="0" xfId="0"/>
    <xf numFmtId="0" fontId="11" fillId="0" borderId="0" xfId="0" applyFont="1"/>
    <xf numFmtId="0" fontId="78" fillId="8" borderId="13" xfId="0" applyFont="1" applyFill="1" applyBorder="1" applyAlignment="1">
      <alignment horizontal="center" vertical="center" wrapText="1"/>
    </xf>
    <xf numFmtId="0" fontId="32" fillId="8" borderId="58" xfId="0" applyFont="1" applyFill="1" applyBorder="1" applyAlignment="1">
      <alignment vertical="center"/>
    </xf>
    <xf numFmtId="0" fontId="7" fillId="0" borderId="0" xfId="0" applyFont="1" applyBorder="1" applyAlignment="1">
      <alignment horizontal="center"/>
    </xf>
    <xf numFmtId="0" fontId="24" fillId="8" borderId="0" xfId="0" applyFont="1" applyFill="1" applyBorder="1" applyAlignment="1" applyProtection="1">
      <alignment vertical="center"/>
      <protection locked="0"/>
    </xf>
    <xf numFmtId="0" fontId="0" fillId="3" borderId="0" xfId="0" applyFill="1" applyBorder="1" applyAlignment="1">
      <alignment wrapText="1"/>
    </xf>
    <xf numFmtId="0" fontId="86" fillId="0" borderId="0" xfId="0" applyFont="1" applyAlignment="1">
      <alignment wrapText="1"/>
    </xf>
    <xf numFmtId="0" fontId="87" fillId="0" borderId="0" xfId="0" applyFont="1"/>
    <xf numFmtId="0" fontId="27" fillId="8" borderId="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171" fontId="0" fillId="0" borderId="0" xfId="0" applyNumberFormat="1" applyAlignment="1">
      <alignment wrapText="1"/>
    </xf>
    <xf numFmtId="165" fontId="34" fillId="3" borderId="2" xfId="3" applyFont="1" applyFill="1" applyBorder="1" applyAlignment="1" applyProtection="1">
      <alignment horizontal="center" vertical="center" wrapText="1"/>
      <protection locked="0"/>
    </xf>
    <xf numFmtId="165" fontId="34" fillId="3" borderId="2" xfId="3" applyFont="1" applyFill="1" applyBorder="1" applyAlignment="1" applyProtection="1">
      <alignment vertical="center" wrapText="1"/>
      <protection locked="0"/>
    </xf>
    <xf numFmtId="165" fontId="35" fillId="4" borderId="2" xfId="3" applyFont="1" applyFill="1" applyBorder="1" applyAlignment="1" applyProtection="1">
      <alignment vertical="center" wrapText="1"/>
      <protection locked="0"/>
    </xf>
    <xf numFmtId="165" fontId="34" fillId="4" borderId="2" xfId="3" applyFont="1" applyFill="1" applyBorder="1" applyAlignment="1">
      <alignment vertical="center" wrapText="1"/>
    </xf>
    <xf numFmtId="165" fontId="0" fillId="0" borderId="0" xfId="3" applyFont="1" applyAlignment="1">
      <alignment vertical="center" wrapText="1"/>
    </xf>
    <xf numFmtId="165" fontId="69" fillId="0" borderId="0" xfId="3" applyFont="1"/>
    <xf numFmtId="165" fontId="8" fillId="0" borderId="0" xfId="3" applyFont="1" applyAlignment="1">
      <alignment vertical="center" wrapText="1"/>
    </xf>
    <xf numFmtId="41" fontId="0" fillId="0" borderId="0" xfId="0" applyNumberFormat="1" applyAlignment="1">
      <alignment wrapText="1"/>
    </xf>
    <xf numFmtId="0" fontId="6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vertical="center"/>
    </xf>
    <xf numFmtId="0" fontId="8" fillId="0" borderId="40" xfId="0" applyFont="1" applyBorder="1" applyAlignment="1">
      <alignment vertical="center"/>
    </xf>
    <xf numFmtId="0" fontId="0" fillId="0" borderId="0" xfId="0" applyAlignment="1">
      <alignment vertical="center"/>
    </xf>
    <xf numFmtId="171" fontId="29" fillId="3" borderId="0" xfId="0" applyNumberFormat="1" applyFont="1" applyFill="1" applyBorder="1" applyAlignment="1">
      <alignment horizontal="left" wrapText="1"/>
    </xf>
    <xf numFmtId="171" fontId="5" fillId="3" borderId="22" xfId="0" applyNumberFormat="1" applyFont="1" applyFill="1" applyBorder="1" applyAlignment="1">
      <alignment vertical="center"/>
    </xf>
    <xf numFmtId="171" fontId="5" fillId="3" borderId="0" xfId="0" applyNumberFormat="1" applyFont="1" applyFill="1" applyBorder="1" applyAlignment="1">
      <alignment vertical="center"/>
    </xf>
    <xf numFmtId="171" fontId="5" fillId="3" borderId="32" xfId="0" applyNumberFormat="1" applyFont="1" applyFill="1" applyBorder="1" applyAlignment="1">
      <alignment vertical="center"/>
    </xf>
    <xf numFmtId="0" fontId="78" fillId="8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61" fillId="26" borderId="2" xfId="0" applyFont="1" applyFill="1" applyBorder="1" applyAlignment="1">
      <alignment vertical="center" wrapText="1"/>
    </xf>
    <xf numFmtId="165" fontId="61" fillId="26" borderId="2" xfId="3" applyFont="1" applyFill="1" applyBorder="1" applyAlignment="1">
      <alignment vertical="center" wrapText="1"/>
    </xf>
    <xf numFmtId="165" fontId="8" fillId="25" borderId="0" xfId="3" applyFont="1" applyFill="1" applyAlignment="1">
      <alignment vertical="center" wrapText="1"/>
    </xf>
    <xf numFmtId="165" fontId="9" fillId="4" borderId="2" xfId="3" applyNumberFormat="1" applyFont="1" applyFill="1" applyBorder="1" applyAlignment="1" applyProtection="1">
      <alignment horizontal="left" vertical="center" wrapText="1"/>
    </xf>
    <xf numFmtId="165" fontId="25" fillId="8" borderId="2" xfId="3" applyNumberFormat="1" applyFont="1" applyFill="1" applyBorder="1" applyAlignment="1">
      <alignment horizontal="left" vertical="center" wrapText="1"/>
    </xf>
    <xf numFmtId="165" fontId="9" fillId="4" borderId="2" xfId="3" applyNumberFormat="1" applyFont="1" applyFill="1" applyBorder="1" applyAlignment="1">
      <alignment horizontal="left" vertical="center" wrapText="1"/>
    </xf>
    <xf numFmtId="165" fontId="9" fillId="3" borderId="0" xfId="3" applyNumberFormat="1" applyFont="1" applyFill="1" applyBorder="1" applyAlignment="1">
      <alignment horizontal="left" vertical="center" wrapText="1"/>
    </xf>
    <xf numFmtId="170" fontId="11" fillId="3" borderId="0" xfId="3" applyNumberFormat="1" applyFont="1" applyFill="1" applyBorder="1" applyAlignment="1">
      <alignment vertical="center" wrapText="1"/>
    </xf>
    <xf numFmtId="41" fontId="5" fillId="3" borderId="0" xfId="0" applyNumberFormat="1" applyFont="1" applyFill="1"/>
    <xf numFmtId="174" fontId="0" fillId="0" borderId="0" xfId="0" applyNumberFormat="1"/>
    <xf numFmtId="165" fontId="8" fillId="3" borderId="2" xfId="3" applyNumberFormat="1" applyFont="1" applyFill="1" applyBorder="1" applyAlignment="1" applyProtection="1">
      <alignment vertical="center" wrapText="1"/>
      <protection locked="0"/>
    </xf>
    <xf numFmtId="165" fontId="28" fillId="8" borderId="2" xfId="3" applyNumberFormat="1" applyFont="1" applyFill="1" applyBorder="1" applyAlignment="1">
      <alignment horizontal="right" wrapText="1"/>
    </xf>
    <xf numFmtId="165" fontId="8" fillId="0" borderId="0" xfId="3" applyFont="1" applyAlignment="1">
      <alignment wrapText="1"/>
    </xf>
    <xf numFmtId="165" fontId="8" fillId="25" borderId="0" xfId="3" applyFont="1" applyFill="1" applyAlignment="1">
      <alignment wrapText="1"/>
    </xf>
    <xf numFmtId="0" fontId="61" fillId="26" borderId="0" xfId="0" applyFont="1" applyFill="1" applyAlignment="1">
      <alignment wrapText="1"/>
    </xf>
    <xf numFmtId="165" fontId="0" fillId="0" borderId="0" xfId="3" applyFont="1" applyAlignment="1">
      <alignment wrapText="1"/>
    </xf>
    <xf numFmtId="165" fontId="8" fillId="3" borderId="2" xfId="3" applyFont="1" applyFill="1" applyBorder="1" applyAlignment="1" applyProtection="1">
      <alignment vertical="center" wrapText="1"/>
      <protection locked="0"/>
    </xf>
    <xf numFmtId="0" fontId="45" fillId="0" borderId="0" xfId="0" applyFont="1" applyBorder="1" applyAlignment="1"/>
    <xf numFmtId="165" fontId="45" fillId="0" borderId="0" xfId="3" applyFont="1" applyBorder="1" applyAlignment="1"/>
    <xf numFmtId="0" fontId="69" fillId="0" borderId="0" xfId="0" applyFont="1" applyAlignment="1">
      <alignment vertical="center"/>
    </xf>
    <xf numFmtId="165" fontId="23" fillId="8" borderId="14" xfId="3" applyFont="1" applyFill="1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1" fontId="61" fillId="26" borderId="4" xfId="0" applyNumberFormat="1" applyFont="1" applyFill="1" applyBorder="1" applyAlignment="1">
      <alignment vertical="center" wrapText="1"/>
    </xf>
    <xf numFmtId="0" fontId="61" fillId="26" borderId="4" xfId="0" applyFont="1" applyFill="1" applyBorder="1" applyAlignment="1">
      <alignment vertical="center" wrapText="1"/>
    </xf>
    <xf numFmtId="165" fontId="61" fillId="26" borderId="4" xfId="3" applyFont="1" applyFill="1" applyBorder="1" applyAlignment="1">
      <alignment vertical="center" wrapText="1"/>
    </xf>
    <xf numFmtId="165" fontId="34" fillId="4" borderId="13" xfId="3" applyFont="1" applyFill="1" applyBorder="1" applyAlignment="1">
      <alignment vertical="center" wrapText="1"/>
    </xf>
    <xf numFmtId="172" fontId="23" fillId="8" borderId="62" xfId="3" applyNumberFormat="1" applyFont="1" applyFill="1" applyBorder="1" applyAlignment="1">
      <alignment vertical="center" wrapText="1"/>
    </xf>
    <xf numFmtId="0" fontId="8" fillId="3" borderId="0" xfId="0" applyFont="1" applyFill="1" applyAlignment="1">
      <alignment vertical="center"/>
    </xf>
    <xf numFmtId="0" fontId="8" fillId="0" borderId="0" xfId="0" applyFont="1"/>
    <xf numFmtId="174" fontId="8" fillId="0" borderId="0" xfId="0" applyNumberFormat="1" applyFont="1"/>
    <xf numFmtId="165" fontId="9" fillId="25" borderId="0" xfId="3" applyNumberFormat="1" applyFont="1" applyFill="1" applyBorder="1" applyAlignment="1">
      <alignment horizontal="left" vertical="center" wrapText="1"/>
    </xf>
    <xf numFmtId="165" fontId="9" fillId="3" borderId="2" xfId="3" applyFont="1" applyFill="1" applyBorder="1" applyAlignment="1">
      <alignment horizontal="right" vertical="center" wrapText="1"/>
    </xf>
    <xf numFmtId="165" fontId="9" fillId="4" borderId="2" xfId="3" applyFont="1" applyFill="1" applyBorder="1" applyAlignment="1">
      <alignment horizontal="right" vertical="center" wrapText="1"/>
    </xf>
    <xf numFmtId="165" fontId="9" fillId="12" borderId="2" xfId="3" applyFont="1" applyFill="1" applyBorder="1" applyAlignment="1">
      <alignment horizontal="right" vertical="center" wrapText="1"/>
    </xf>
    <xf numFmtId="165" fontId="9" fillId="3" borderId="2" xfId="3" applyFont="1" applyFill="1" applyBorder="1" applyAlignment="1">
      <alignment horizontal="left" vertical="center" wrapText="1"/>
    </xf>
    <xf numFmtId="165" fontId="9" fillId="4" borderId="2" xfId="3" applyFont="1" applyFill="1" applyBorder="1" applyAlignment="1">
      <alignment horizontal="left" vertical="center" wrapText="1"/>
    </xf>
    <xf numFmtId="165" fontId="9" fillId="25" borderId="0" xfId="3" applyFont="1" applyFill="1" applyBorder="1" applyAlignment="1">
      <alignment horizontal="left" vertical="center" wrapText="1"/>
    </xf>
    <xf numFmtId="169" fontId="9" fillId="25" borderId="0" xfId="2" applyNumberFormat="1" applyFont="1" applyFill="1" applyBorder="1" applyAlignment="1">
      <alignment horizontal="right" vertical="center" wrapText="1"/>
    </xf>
    <xf numFmtId="165" fontId="4" fillId="4" borderId="2" xfId="3" applyFont="1" applyFill="1" applyBorder="1" applyAlignment="1">
      <alignment vertical="center" wrapText="1"/>
    </xf>
    <xf numFmtId="165" fontId="5" fillId="3" borderId="2" xfId="3" applyFont="1" applyFill="1" applyBorder="1" applyAlignment="1" applyProtection="1">
      <alignment vertical="center" wrapText="1"/>
      <protection locked="0"/>
    </xf>
    <xf numFmtId="165" fontId="4" fillId="4" borderId="2" xfId="3" applyFont="1" applyFill="1" applyBorder="1" applyAlignment="1" applyProtection="1">
      <alignment vertical="center" wrapText="1"/>
      <protection locked="0"/>
    </xf>
    <xf numFmtId="165" fontId="5" fillId="3" borderId="2" xfId="3" applyFont="1" applyFill="1" applyBorder="1" applyAlignment="1" applyProtection="1">
      <alignment vertical="center"/>
      <protection locked="0"/>
    </xf>
    <xf numFmtId="165" fontId="4" fillId="3" borderId="2" xfId="3" applyFont="1" applyFill="1" applyBorder="1" applyAlignment="1" applyProtection="1">
      <alignment vertical="center"/>
      <protection locked="0"/>
    </xf>
    <xf numFmtId="165" fontId="4" fillId="3" borderId="2" xfId="3" applyFont="1" applyFill="1" applyBorder="1" applyAlignment="1" applyProtection="1">
      <alignment vertical="center" wrapText="1"/>
      <protection locked="0"/>
    </xf>
    <xf numFmtId="165" fontId="4" fillId="13" borderId="2" xfId="3" applyFont="1" applyFill="1" applyBorder="1" applyAlignment="1">
      <alignment vertical="center" wrapText="1"/>
    </xf>
    <xf numFmtId="165" fontId="4" fillId="3" borderId="2" xfId="3" applyFont="1" applyFill="1" applyBorder="1" applyAlignment="1">
      <alignment vertical="center" wrapText="1"/>
    </xf>
    <xf numFmtId="165" fontId="4" fillId="6" borderId="2" xfId="3" applyFont="1" applyFill="1" applyBorder="1" applyAlignment="1">
      <alignment vertical="center" wrapText="1"/>
    </xf>
    <xf numFmtId="165" fontId="46" fillId="14" borderId="2" xfId="3" applyFont="1" applyFill="1" applyBorder="1" applyAlignment="1">
      <alignment vertical="center"/>
    </xf>
    <xf numFmtId="174" fontId="0" fillId="25" borderId="0" xfId="0" applyNumberFormat="1" applyFill="1"/>
    <xf numFmtId="43" fontId="0" fillId="0" borderId="0" xfId="0" applyNumberFormat="1"/>
    <xf numFmtId="0" fontId="46" fillId="8" borderId="2" xfId="0" applyFont="1" applyFill="1" applyBorder="1" applyAlignment="1">
      <alignment horizontal="center" vertical="center" wrapText="1"/>
    </xf>
    <xf numFmtId="0" fontId="46" fillId="8" borderId="2" xfId="0" applyFont="1" applyFill="1" applyBorder="1" applyAlignment="1">
      <alignment vertical="center" wrapText="1"/>
    </xf>
    <xf numFmtId="0" fontId="51" fillId="4" borderId="2" xfId="0" applyFont="1" applyFill="1" applyBorder="1" applyAlignment="1">
      <alignment vertical="center" wrapText="1"/>
    </xf>
    <xf numFmtId="165" fontId="51" fillId="4" borderId="2" xfId="3" applyFont="1" applyFill="1" applyBorder="1" applyAlignment="1">
      <alignment horizontal="right" vertical="center" wrapText="1"/>
    </xf>
    <xf numFmtId="167" fontId="8" fillId="9" borderId="2" xfId="0" applyNumberFormat="1" applyFont="1" applyFill="1" applyBorder="1" applyAlignment="1">
      <alignment vertical="center" wrapText="1"/>
    </xf>
    <xf numFmtId="173" fontId="93" fillId="14" borderId="2" xfId="0" applyNumberFormat="1" applyFont="1" applyFill="1" applyBorder="1" applyAlignment="1">
      <alignment vertical="center" wrapText="1"/>
    </xf>
    <xf numFmtId="165" fontId="61" fillId="3" borderId="0" xfId="3" applyFont="1" applyFill="1"/>
    <xf numFmtId="43" fontId="61" fillId="3" borderId="0" xfId="0" applyNumberFormat="1" applyFont="1" applyFill="1"/>
    <xf numFmtId="165" fontId="17" fillId="4" borderId="2" xfId="3" applyFont="1" applyFill="1" applyBorder="1" applyAlignment="1">
      <alignment horizontal="right" vertical="center" wrapText="1"/>
    </xf>
    <xf numFmtId="165" fontId="17" fillId="3" borderId="0" xfId="3" applyFont="1" applyFill="1" applyBorder="1" applyAlignment="1">
      <alignment horizontal="right" wrapText="1"/>
    </xf>
    <xf numFmtId="165" fontId="17" fillId="0" borderId="2" xfId="3" applyFont="1" applyFill="1" applyBorder="1" applyAlignment="1">
      <alignment horizontal="right" vertical="center" wrapText="1"/>
    </xf>
    <xf numFmtId="165" fontId="17" fillId="5" borderId="2" xfId="3" applyFont="1" applyFill="1" applyBorder="1" applyAlignment="1">
      <alignment horizontal="right" vertical="center" wrapText="1"/>
    </xf>
    <xf numFmtId="165" fontId="18" fillId="5" borderId="2" xfId="3" applyFont="1" applyFill="1" applyBorder="1" applyAlignment="1">
      <alignment horizontal="right" wrapText="1"/>
    </xf>
    <xf numFmtId="165" fontId="18" fillId="3" borderId="0" xfId="3" applyFont="1" applyFill="1" applyBorder="1" applyAlignment="1">
      <alignment horizontal="right" wrapText="1"/>
    </xf>
    <xf numFmtId="0" fontId="8" fillId="26" borderId="2" xfId="0" applyFont="1" applyFill="1" applyBorder="1" applyAlignment="1" applyProtection="1">
      <alignment vertical="center" wrapText="1"/>
      <protection locked="0"/>
    </xf>
    <xf numFmtId="170" fontId="8" fillId="25" borderId="2" xfId="0" applyNumberFormat="1" applyFont="1" applyFill="1" applyBorder="1" applyAlignment="1" applyProtection="1">
      <alignment vertical="center" wrapText="1"/>
      <protection locked="0"/>
    </xf>
    <xf numFmtId="167" fontId="8" fillId="0" borderId="0" xfId="0" applyNumberFormat="1" applyFont="1" applyAlignment="1">
      <alignment vertical="center" wrapText="1"/>
    </xf>
    <xf numFmtId="165" fontId="28" fillId="8" borderId="2" xfId="3" applyNumberFormat="1" applyFont="1" applyFill="1" applyBorder="1" applyAlignment="1">
      <alignment horizontal="right" vertical="center" wrapText="1"/>
    </xf>
    <xf numFmtId="3" fontId="28" fillId="8" borderId="2" xfId="0" applyNumberFormat="1" applyFont="1" applyFill="1" applyBorder="1" applyAlignment="1">
      <alignment horizontal="right" vertical="center" wrapText="1"/>
    </xf>
    <xf numFmtId="0" fontId="26" fillId="3" borderId="0" xfId="0" applyFont="1" applyFill="1" applyBorder="1" applyAlignment="1">
      <alignment vertical="center" wrapText="1"/>
    </xf>
    <xf numFmtId="49" fontId="8" fillId="3" borderId="1" xfId="0" applyNumberFormat="1" applyFont="1" applyFill="1" applyBorder="1" applyAlignment="1">
      <alignment vertical="center" wrapText="1"/>
    </xf>
    <xf numFmtId="165" fontId="8" fillId="4" borderId="2" xfId="3" applyFont="1" applyFill="1" applyBorder="1" applyAlignment="1">
      <alignment vertical="center" wrapText="1"/>
    </xf>
    <xf numFmtId="165" fontId="28" fillId="8" borderId="2" xfId="3" applyFont="1" applyFill="1" applyBorder="1" applyAlignment="1">
      <alignment horizontal="right" vertical="center" wrapText="1"/>
    </xf>
    <xf numFmtId="0" fontId="8" fillId="27" borderId="2" xfId="0" applyFont="1" applyFill="1" applyBorder="1" applyAlignment="1" applyProtection="1">
      <alignment vertical="center" wrapText="1"/>
      <protection locked="0"/>
    </xf>
    <xf numFmtId="165" fontId="8" fillId="9" borderId="2" xfId="3" applyNumberFormat="1" applyFont="1" applyFill="1" applyBorder="1" applyAlignment="1" applyProtection="1">
      <alignment vertical="center" wrapText="1"/>
      <protection locked="0"/>
    </xf>
    <xf numFmtId="0" fontId="8" fillId="26" borderId="2" xfId="0" applyFont="1" applyFill="1" applyBorder="1" applyAlignment="1" applyProtection="1">
      <alignment horizontal="center" vertical="center" wrapText="1"/>
      <protection locked="0"/>
    </xf>
    <xf numFmtId="0" fontId="0" fillId="3" borderId="0" xfId="0" applyFont="1" applyFill="1" applyBorder="1" applyAlignment="1">
      <alignment wrapText="1"/>
    </xf>
    <xf numFmtId="49" fontId="8" fillId="3" borderId="0" xfId="0" applyNumberFormat="1" applyFont="1" applyFill="1" applyBorder="1" applyAlignment="1">
      <alignment wrapText="1"/>
    </xf>
    <xf numFmtId="0" fontId="8" fillId="3" borderId="0" xfId="0" applyFont="1" applyFill="1" applyBorder="1" applyAlignment="1">
      <alignment wrapText="1"/>
    </xf>
    <xf numFmtId="0" fontId="34" fillId="0" borderId="0" xfId="0" applyFont="1" applyAlignment="1">
      <alignment vertical="center" wrapText="1"/>
    </xf>
    <xf numFmtId="165" fontId="8" fillId="27" borderId="2" xfId="3" applyNumberFormat="1" applyFont="1" applyFill="1" applyBorder="1" applyAlignment="1" applyProtection="1">
      <alignment vertical="center" wrapText="1"/>
      <protection locked="0"/>
    </xf>
    <xf numFmtId="165" fontId="8" fillId="27" borderId="2" xfId="3" applyFont="1" applyFill="1" applyBorder="1" applyAlignment="1" applyProtection="1">
      <alignment vertical="center" wrapText="1"/>
      <protection locked="0"/>
    </xf>
    <xf numFmtId="165" fontId="4" fillId="3" borderId="2" xfId="3" applyNumberFormat="1" applyFont="1" applyFill="1" applyBorder="1" applyAlignment="1" applyProtection="1">
      <alignment vertical="center"/>
      <protection locked="0"/>
    </xf>
    <xf numFmtId="165" fontId="34" fillId="3" borderId="2" xfId="3" applyNumberFormat="1" applyFont="1" applyFill="1" applyBorder="1" applyAlignment="1" applyProtection="1">
      <alignment vertical="center" wrapText="1"/>
      <protection locked="0"/>
    </xf>
    <xf numFmtId="165" fontId="17" fillId="3" borderId="2" xfId="3" applyFont="1" applyFill="1" applyBorder="1" applyAlignment="1">
      <alignment horizontal="right" vertical="center" wrapText="1"/>
    </xf>
    <xf numFmtId="0" fontId="12" fillId="3" borderId="0" xfId="0" applyFont="1" applyFill="1"/>
    <xf numFmtId="0" fontId="16" fillId="3" borderId="0" xfId="0" applyFont="1" applyFill="1" applyAlignment="1">
      <alignment vertical="center"/>
    </xf>
    <xf numFmtId="0" fontId="88" fillId="3" borderId="0" xfId="0" applyFont="1" applyFill="1"/>
    <xf numFmtId="0" fontId="4" fillId="3" borderId="0" xfId="0" applyFont="1" applyFill="1"/>
    <xf numFmtId="0" fontId="19" fillId="3" borderId="0" xfId="0" applyFont="1" applyFill="1"/>
    <xf numFmtId="0" fontId="20" fillId="3" borderId="0" xfId="0" applyFont="1" applyFill="1"/>
    <xf numFmtId="0" fontId="34" fillId="3" borderId="15" xfId="0" applyFont="1" applyFill="1" applyBorder="1" applyAlignment="1" applyProtection="1">
      <alignment horizontal="left" vertical="center" wrapText="1"/>
      <protection locked="0"/>
    </xf>
    <xf numFmtId="165" fontId="34" fillId="3" borderId="15" xfId="3" applyFont="1" applyFill="1" applyBorder="1" applyAlignment="1" applyProtection="1">
      <alignment horizontal="left" vertical="center" wrapText="1"/>
      <protection locked="0"/>
    </xf>
    <xf numFmtId="0" fontId="52" fillId="0" borderId="26" xfId="0" applyFont="1" applyBorder="1" applyAlignment="1">
      <alignment horizontal="left" vertical="center" wrapText="1"/>
    </xf>
    <xf numFmtId="0" fontId="52" fillId="0" borderId="27" xfId="0" applyFont="1" applyBorder="1" applyAlignment="1">
      <alignment horizontal="left" vertical="center" wrapText="1"/>
    </xf>
    <xf numFmtId="0" fontId="52" fillId="0" borderId="28" xfId="0" applyFont="1" applyBorder="1" applyAlignment="1">
      <alignment horizontal="left" vertical="center" wrapText="1"/>
    </xf>
    <xf numFmtId="0" fontId="52" fillId="0" borderId="8" xfId="0" applyFont="1" applyBorder="1" applyAlignment="1">
      <alignment horizontal="left" vertical="center" wrapText="1"/>
    </xf>
    <xf numFmtId="0" fontId="52" fillId="0" borderId="9" xfId="0" applyFont="1" applyBorder="1" applyAlignment="1">
      <alignment horizontal="left" vertical="center" wrapText="1"/>
    </xf>
    <xf numFmtId="0" fontId="52" fillId="0" borderId="10" xfId="0" applyFont="1" applyBorder="1" applyAlignment="1">
      <alignment horizontal="left" vertical="center" wrapText="1"/>
    </xf>
    <xf numFmtId="0" fontId="52" fillId="0" borderId="8" xfId="0" applyFont="1" applyBorder="1" applyAlignment="1">
      <alignment horizontal="left" wrapText="1"/>
    </xf>
    <xf numFmtId="0" fontId="52" fillId="0" borderId="9" xfId="0" applyFont="1" applyBorder="1" applyAlignment="1">
      <alignment horizontal="left" wrapText="1"/>
    </xf>
    <xf numFmtId="0" fontId="52" fillId="0" borderId="10" xfId="0" applyFont="1" applyBorder="1" applyAlignment="1">
      <alignment horizontal="left" wrapText="1"/>
    </xf>
    <xf numFmtId="0" fontId="52" fillId="9" borderId="6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2" fillId="9" borderId="7" xfId="0" applyFont="1" applyFill="1" applyBorder="1" applyAlignment="1">
      <alignment horizontal="center"/>
    </xf>
    <xf numFmtId="0" fontId="52" fillId="0" borderId="26" xfId="0" applyFont="1" applyBorder="1" applyAlignment="1">
      <alignment horizontal="left" vertical="center"/>
    </xf>
    <xf numFmtId="0" fontId="52" fillId="0" borderId="27" xfId="0" applyFont="1" applyBorder="1" applyAlignment="1">
      <alignment horizontal="left" vertical="center"/>
    </xf>
    <xf numFmtId="0" fontId="52" fillId="0" borderId="28" xfId="0" applyFont="1" applyBorder="1" applyAlignment="1">
      <alignment horizontal="left" vertical="center"/>
    </xf>
    <xf numFmtId="0" fontId="4" fillId="9" borderId="0" xfId="0" applyFont="1" applyFill="1" applyAlignment="1">
      <alignment horizontal="left" wrapText="1"/>
    </xf>
    <xf numFmtId="0" fontId="23" fillId="10" borderId="6" xfId="0" applyFont="1" applyFill="1" applyBorder="1" applyAlignment="1">
      <alignment horizontal="center" vertical="center"/>
    </xf>
    <xf numFmtId="0" fontId="23" fillId="10" borderId="0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72" fillId="8" borderId="0" xfId="0" applyFont="1" applyFill="1" applyAlignment="1">
      <alignment horizontal="center" vertical="center" wrapText="1"/>
    </xf>
    <xf numFmtId="2" fontId="48" fillId="3" borderId="52" xfId="0" applyNumberFormat="1" applyFont="1" applyFill="1" applyBorder="1" applyAlignment="1">
      <alignment horizontal="left" vertical="center" wrapText="1"/>
    </xf>
    <xf numFmtId="2" fontId="48" fillId="3" borderId="0" xfId="0" applyNumberFormat="1" applyFont="1" applyFill="1" applyBorder="1" applyAlignment="1">
      <alignment horizontal="left" vertical="center" wrapText="1"/>
    </xf>
    <xf numFmtId="0" fontId="94" fillId="3" borderId="52" xfId="0" applyFont="1" applyFill="1" applyBorder="1" applyAlignment="1">
      <alignment horizontal="center" vertical="center" wrapText="1"/>
    </xf>
    <xf numFmtId="0" fontId="94" fillId="3" borderId="0" xfId="0" applyFont="1" applyFill="1" applyBorder="1" applyAlignment="1">
      <alignment horizontal="center" vertical="center" wrapText="1"/>
    </xf>
    <xf numFmtId="0" fontId="72" fillId="8" borderId="0" xfId="0" applyFont="1" applyFill="1" applyAlignment="1">
      <alignment horizontal="center" vertical="center"/>
    </xf>
    <xf numFmtId="0" fontId="48" fillId="3" borderId="37" xfId="0" applyFont="1" applyFill="1" applyBorder="1" applyAlignment="1">
      <alignment horizontal="left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37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48" fillId="3" borderId="37" xfId="0" applyFont="1" applyFill="1" applyBorder="1" applyAlignment="1">
      <alignment horizontal="center" wrapText="1"/>
    </xf>
    <xf numFmtId="0" fontId="8" fillId="3" borderId="40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/>
    </xf>
    <xf numFmtId="0" fontId="48" fillId="3" borderId="37" xfId="0" applyFont="1" applyFill="1" applyBorder="1" applyAlignment="1">
      <alignment horizontal="center" vertical="top" wrapText="1"/>
    </xf>
    <xf numFmtId="0" fontId="28" fillId="8" borderId="51" xfId="0" applyFont="1" applyFill="1" applyBorder="1" applyAlignment="1">
      <alignment horizontal="center" vertical="center" wrapText="1"/>
    </xf>
    <xf numFmtId="169" fontId="48" fillId="3" borderId="40" xfId="2" applyNumberFormat="1" applyFont="1" applyFill="1" applyBorder="1" applyAlignment="1">
      <alignment horizontal="center" vertical="center"/>
    </xf>
    <xf numFmtId="169" fontId="48" fillId="3" borderId="43" xfId="2" applyNumberFormat="1" applyFont="1" applyFill="1" applyBorder="1" applyAlignment="1">
      <alignment horizontal="center" vertical="center"/>
    </xf>
    <xf numFmtId="169" fontId="8" fillId="3" borderId="40" xfId="2" applyNumberFormat="1" applyFont="1" applyFill="1" applyBorder="1" applyAlignment="1">
      <alignment horizontal="center" vertical="center"/>
    </xf>
    <xf numFmtId="169" fontId="8" fillId="3" borderId="43" xfId="2" applyNumberFormat="1" applyFont="1" applyFill="1" applyBorder="1" applyAlignment="1">
      <alignment horizontal="center" vertical="center"/>
    </xf>
    <xf numFmtId="9" fontId="48" fillId="3" borderId="40" xfId="2" applyFont="1" applyFill="1" applyBorder="1" applyAlignment="1">
      <alignment horizontal="center" vertical="center"/>
    </xf>
    <xf numFmtId="9" fontId="48" fillId="3" borderId="43" xfId="2" applyFont="1" applyFill="1" applyBorder="1" applyAlignment="1">
      <alignment horizontal="center" vertical="center"/>
    </xf>
    <xf numFmtId="9" fontId="8" fillId="3" borderId="40" xfId="2" applyFont="1" applyFill="1" applyBorder="1" applyAlignment="1">
      <alignment horizontal="center" vertical="center"/>
    </xf>
    <xf numFmtId="9" fontId="8" fillId="3" borderId="43" xfId="2" applyFont="1" applyFill="1" applyBorder="1" applyAlignment="1">
      <alignment horizontal="center" vertical="center"/>
    </xf>
    <xf numFmtId="175" fontId="8" fillId="0" borderId="40" xfId="14" applyNumberFormat="1" applyFont="1" applyBorder="1" applyAlignment="1">
      <alignment horizontal="center" vertical="center"/>
    </xf>
    <xf numFmtId="175" fontId="8" fillId="0" borderId="43" xfId="14" applyNumberFormat="1" applyFont="1" applyBorder="1" applyAlignment="1">
      <alignment horizontal="center" vertical="center"/>
    </xf>
    <xf numFmtId="175" fontId="48" fillId="3" borderId="40" xfId="14" applyNumberFormat="1" applyFont="1" applyFill="1" applyBorder="1" applyAlignment="1">
      <alignment horizontal="center" vertical="center"/>
    </xf>
    <xf numFmtId="175" fontId="48" fillId="3" borderId="43" xfId="14" applyNumberFormat="1" applyFont="1" applyFill="1" applyBorder="1" applyAlignment="1">
      <alignment horizontal="center" vertical="center"/>
    </xf>
    <xf numFmtId="0" fontId="65" fillId="16" borderId="48" xfId="4" applyFont="1" applyFill="1" applyBorder="1" applyAlignment="1">
      <alignment horizontal="center" vertical="center" wrapText="1"/>
    </xf>
    <xf numFmtId="0" fontId="65" fillId="16" borderId="37" xfId="4" applyFont="1" applyFill="1" applyBorder="1" applyAlignment="1">
      <alignment horizontal="center" vertical="center"/>
    </xf>
    <xf numFmtId="0" fontId="65" fillId="17" borderId="37" xfId="4" applyFont="1" applyFill="1" applyBorder="1" applyAlignment="1">
      <alignment horizontal="center" vertical="center" wrapText="1"/>
    </xf>
    <xf numFmtId="0" fontId="65" fillId="17" borderId="48" xfId="4" applyFont="1" applyFill="1" applyBorder="1" applyAlignment="1">
      <alignment horizontal="center" vertical="center" wrapText="1"/>
    </xf>
    <xf numFmtId="0" fontId="48" fillId="3" borderId="40" xfId="0" applyFont="1" applyFill="1" applyBorder="1" applyAlignment="1">
      <alignment horizontal="center" vertical="center" wrapText="1"/>
    </xf>
    <xf numFmtId="0" fontId="48" fillId="3" borderId="57" xfId="0" applyFont="1" applyFill="1" applyBorder="1" applyAlignment="1">
      <alignment horizontal="center" vertical="center" wrapText="1"/>
    </xf>
    <xf numFmtId="0" fontId="48" fillId="3" borderId="43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28" fillId="8" borderId="21" xfId="0" applyFont="1" applyFill="1" applyBorder="1" applyAlignment="1">
      <alignment horizontal="center" vertical="center" wrapText="1"/>
    </xf>
    <xf numFmtId="0" fontId="28" fillId="8" borderId="23" xfId="0" applyFont="1" applyFill="1" applyBorder="1" applyAlignment="1">
      <alignment horizontal="center" vertical="center" wrapText="1"/>
    </xf>
    <xf numFmtId="0" fontId="48" fillId="3" borderId="55" xfId="0" applyFont="1" applyFill="1" applyBorder="1" applyAlignment="1">
      <alignment horizontal="center" vertical="center" wrapText="1"/>
    </xf>
    <xf numFmtId="0" fontId="48" fillId="3" borderId="50" xfId="0" applyFont="1" applyFill="1" applyBorder="1" applyAlignment="1">
      <alignment horizontal="center"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32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 wrapText="1"/>
    </xf>
    <xf numFmtId="0" fontId="48" fillId="0" borderId="39" xfId="0" applyFont="1" applyBorder="1" applyAlignment="1">
      <alignment horizontal="center" vertical="center" wrapText="1"/>
    </xf>
    <xf numFmtId="0" fontId="48" fillId="0" borderId="42" xfId="0" applyFont="1" applyBorder="1" applyAlignment="1">
      <alignment horizontal="center" vertical="center" wrapText="1"/>
    </xf>
    <xf numFmtId="0" fontId="28" fillId="8" borderId="16" xfId="0" applyFont="1" applyFill="1" applyBorder="1" applyAlignment="1">
      <alignment horizontal="center" vertical="center" wrapText="1"/>
    </xf>
    <xf numFmtId="0" fontId="28" fillId="8" borderId="4" xfId="0" applyFont="1" applyFill="1" applyBorder="1" applyAlignment="1">
      <alignment horizontal="center" vertical="center" wrapText="1"/>
    </xf>
    <xf numFmtId="0" fontId="48" fillId="0" borderId="51" xfId="0" applyFont="1" applyBorder="1" applyAlignment="1">
      <alignment horizontal="center" vertical="center" wrapText="1"/>
    </xf>
    <xf numFmtId="0" fontId="48" fillId="3" borderId="39" xfId="0" applyFont="1" applyFill="1" applyBorder="1" applyAlignment="1">
      <alignment horizontal="center" vertical="center" wrapText="1"/>
    </xf>
    <xf numFmtId="0" fontId="48" fillId="3" borderId="42" xfId="0" applyFont="1" applyFill="1" applyBorder="1" applyAlignment="1">
      <alignment horizontal="center" vertical="center" wrapText="1"/>
    </xf>
    <xf numFmtId="0" fontId="49" fillId="9" borderId="6" xfId="0" applyFont="1" applyFill="1" applyBorder="1" applyAlignment="1">
      <alignment horizontal="left" vertical="center" wrapText="1"/>
    </xf>
    <xf numFmtId="0" fontId="49" fillId="9" borderId="0" xfId="0" applyFont="1" applyFill="1" applyBorder="1" applyAlignment="1">
      <alignment horizontal="left" vertical="center" wrapText="1"/>
    </xf>
    <xf numFmtId="0" fontId="28" fillId="8" borderId="29" xfId="0" applyFont="1" applyFill="1" applyBorder="1" applyAlignment="1">
      <alignment horizontal="left" vertical="center"/>
    </xf>
    <xf numFmtId="0" fontId="28" fillId="8" borderId="0" xfId="0" applyFont="1" applyFill="1" applyBorder="1" applyAlignment="1">
      <alignment horizontal="left" vertical="center"/>
    </xf>
    <xf numFmtId="0" fontId="27" fillId="8" borderId="29" xfId="0" applyFont="1" applyFill="1" applyBorder="1" applyAlignment="1">
      <alignment horizontal="left" vertical="center" wrapText="1"/>
    </xf>
    <xf numFmtId="0" fontId="27" fillId="8" borderId="0" xfId="0" applyFont="1" applyFill="1" applyBorder="1" applyAlignment="1">
      <alignment horizontal="left" vertical="center" wrapText="1"/>
    </xf>
    <xf numFmtId="0" fontId="48" fillId="3" borderId="37" xfId="0" applyFont="1" applyFill="1" applyBorder="1" applyAlignment="1">
      <alignment vertical="center" wrapText="1"/>
    </xf>
    <xf numFmtId="9" fontId="8" fillId="3" borderId="52" xfId="0" applyNumberFormat="1" applyFont="1" applyFill="1" applyBorder="1" applyAlignment="1">
      <alignment horizontal="center" vertical="center"/>
    </xf>
    <xf numFmtId="0" fontId="8" fillId="3" borderId="52" xfId="0" applyFont="1" applyFill="1" applyBorder="1" applyAlignment="1">
      <alignment horizontal="center" vertical="center"/>
    </xf>
    <xf numFmtId="169" fontId="8" fillId="3" borderId="52" xfId="0" applyNumberFormat="1" applyFont="1" applyFill="1" applyBorder="1" applyAlignment="1">
      <alignment horizontal="center" vertical="center"/>
    </xf>
    <xf numFmtId="2" fontId="48" fillId="3" borderId="52" xfId="0" applyNumberFormat="1" applyFont="1" applyFill="1" applyBorder="1" applyAlignment="1">
      <alignment horizontal="center" vertical="center"/>
    </xf>
    <xf numFmtId="0" fontId="28" fillId="8" borderId="31" xfId="0" applyFont="1" applyFill="1" applyBorder="1" applyAlignment="1">
      <alignment horizontal="left" vertical="center" wrapText="1"/>
    </xf>
    <xf numFmtId="0" fontId="28" fillId="8" borderId="32" xfId="0" applyFont="1" applyFill="1" applyBorder="1" applyAlignment="1">
      <alignment horizontal="left" vertical="center" wrapText="1"/>
    </xf>
    <xf numFmtId="0" fontId="28" fillId="8" borderId="44" xfId="0" applyFont="1" applyFill="1" applyBorder="1" applyAlignment="1">
      <alignment horizontal="left" vertical="center" wrapText="1"/>
    </xf>
    <xf numFmtId="0" fontId="48" fillId="3" borderId="45" xfId="0" applyFont="1" applyFill="1" applyBorder="1" applyAlignment="1">
      <alignment horizontal="center" vertical="center" wrapText="1"/>
    </xf>
    <xf numFmtId="0" fontId="48" fillId="3" borderId="47" xfId="0" applyFont="1" applyFill="1" applyBorder="1" applyAlignment="1">
      <alignment horizontal="center" vertical="center" wrapText="1"/>
    </xf>
    <xf numFmtId="2" fontId="8" fillId="3" borderId="40" xfId="2" applyNumberFormat="1" applyFont="1" applyFill="1" applyBorder="1" applyAlignment="1">
      <alignment horizontal="center" vertical="center"/>
    </xf>
    <xf numFmtId="2" fontId="8" fillId="3" borderId="43" xfId="2" applyNumberFormat="1" applyFont="1" applyFill="1" applyBorder="1" applyAlignment="1">
      <alignment horizontal="center" vertical="center"/>
    </xf>
    <xf numFmtId="0" fontId="29" fillId="9" borderId="0" xfId="0" applyFont="1" applyFill="1" applyBorder="1" applyAlignment="1">
      <alignment horizontal="left" vertical="center" wrapText="1"/>
    </xf>
    <xf numFmtId="0" fontId="78" fillId="8" borderId="2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left" vertical="center" wrapText="1"/>
    </xf>
    <xf numFmtId="0" fontId="78" fillId="8" borderId="5" xfId="0" applyFont="1" applyFill="1" applyBorder="1" applyAlignment="1">
      <alignment horizontal="center" vertical="center" wrapText="1"/>
    </xf>
    <xf numFmtId="0" fontId="78" fillId="8" borderId="20" xfId="0" applyFont="1" applyFill="1" applyBorder="1" applyAlignment="1">
      <alignment horizontal="center" vertical="center" wrapText="1"/>
    </xf>
    <xf numFmtId="0" fontId="78" fillId="8" borderId="25" xfId="0" applyFont="1" applyFill="1" applyBorder="1" applyAlignment="1">
      <alignment horizontal="center" vertical="center" wrapText="1"/>
    </xf>
    <xf numFmtId="0" fontId="78" fillId="8" borderId="15" xfId="0" applyFont="1" applyFill="1" applyBorder="1" applyAlignment="1">
      <alignment horizontal="center" vertical="center" wrapText="1"/>
    </xf>
    <xf numFmtId="0" fontId="23" fillId="8" borderId="59" xfId="0" applyFont="1" applyFill="1" applyBorder="1" applyAlignment="1">
      <alignment horizontal="left" wrapText="1"/>
    </xf>
    <xf numFmtId="0" fontId="23" fillId="8" borderId="60" xfId="0" applyFont="1" applyFill="1" applyBorder="1" applyAlignment="1">
      <alignment horizontal="left" wrapText="1"/>
    </xf>
    <xf numFmtId="0" fontId="23" fillId="8" borderId="61" xfId="0" applyFont="1" applyFill="1" applyBorder="1" applyAlignment="1">
      <alignment horizontal="left" wrapText="1"/>
    </xf>
    <xf numFmtId="0" fontId="0" fillId="0" borderId="32" xfId="0" applyBorder="1" applyAlignment="1">
      <alignment horizontal="center" vertical="center" wrapText="1"/>
    </xf>
    <xf numFmtId="0" fontId="8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11" fillId="3" borderId="2" xfId="0" applyFont="1" applyFill="1" applyBorder="1" applyAlignment="1" applyProtection="1">
      <alignment vertical="top" wrapText="1"/>
      <protection locked="0"/>
    </xf>
    <xf numFmtId="171" fontId="78" fillId="8" borderId="5" xfId="0" applyNumberFormat="1" applyFont="1" applyFill="1" applyBorder="1" applyAlignment="1">
      <alignment horizontal="center" vertical="center" wrapText="1"/>
    </xf>
    <xf numFmtId="171" fontId="78" fillId="8" borderId="2" xfId="0" applyNumberFormat="1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right" vertical="center" wrapText="1"/>
    </xf>
    <xf numFmtId="0" fontId="23" fillId="8" borderId="35" xfId="0" applyFont="1" applyFill="1" applyBorder="1" applyAlignment="1">
      <alignment horizontal="right" vertical="center" wrapText="1"/>
    </xf>
    <xf numFmtId="0" fontId="23" fillId="8" borderId="36" xfId="0" applyFont="1" applyFill="1" applyBorder="1" applyAlignment="1">
      <alignment horizontal="right" vertical="center" wrapText="1"/>
    </xf>
    <xf numFmtId="0" fontId="79" fillId="23" borderId="5" xfId="0" applyFont="1" applyFill="1" applyBorder="1" applyAlignment="1">
      <alignment horizontal="center" vertical="center" wrapText="1"/>
    </xf>
    <xf numFmtId="0" fontId="79" fillId="23" borderId="2" xfId="0" applyFont="1" applyFill="1" applyBorder="1" applyAlignment="1">
      <alignment horizontal="center" vertical="center" wrapText="1"/>
    </xf>
    <xf numFmtId="0" fontId="25" fillId="8" borderId="26" xfId="0" applyFont="1" applyFill="1" applyBorder="1" applyAlignment="1">
      <alignment horizontal="left" vertical="center"/>
    </xf>
    <xf numFmtId="0" fontId="25" fillId="8" borderId="27" xfId="0" applyFont="1" applyFill="1" applyBorder="1" applyAlignment="1">
      <alignment horizontal="left" vertical="center"/>
    </xf>
    <xf numFmtId="0" fontId="25" fillId="8" borderId="28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 wrapText="1"/>
    </xf>
    <xf numFmtId="0" fontId="11" fillId="6" borderId="18" xfId="0" applyFont="1" applyFill="1" applyBorder="1" applyAlignment="1">
      <alignment horizontal="left" vertical="center"/>
    </xf>
    <xf numFmtId="0" fontId="11" fillId="6" borderId="19" xfId="0" applyFont="1" applyFill="1" applyBorder="1" applyAlignment="1">
      <alignment horizontal="left" vertical="center"/>
    </xf>
    <xf numFmtId="0" fontId="11" fillId="6" borderId="6" xfId="0" applyFont="1" applyFill="1" applyBorder="1" applyAlignment="1">
      <alignment horizontal="left" vertical="center"/>
    </xf>
    <xf numFmtId="0" fontId="11" fillId="6" borderId="0" xfId="0" applyFont="1" applyFill="1" applyBorder="1" applyAlignment="1">
      <alignment horizontal="left" vertical="center"/>
    </xf>
    <xf numFmtId="0" fontId="11" fillId="6" borderId="7" xfId="0" applyFont="1" applyFill="1" applyBorder="1" applyAlignment="1">
      <alignment horizontal="left" vertical="center"/>
    </xf>
    <xf numFmtId="0" fontId="11" fillId="6" borderId="8" xfId="0" applyFont="1" applyFill="1" applyBorder="1" applyAlignment="1">
      <alignment horizontal="left" vertical="center"/>
    </xf>
    <xf numFmtId="0" fontId="11" fillId="6" borderId="9" xfId="0" applyFont="1" applyFill="1" applyBorder="1" applyAlignment="1">
      <alignment horizontal="left" vertical="center"/>
    </xf>
    <xf numFmtId="0" fontId="11" fillId="6" borderId="10" xfId="0" applyFont="1" applyFill="1" applyBorder="1" applyAlignment="1">
      <alignment horizontal="left" vertical="center"/>
    </xf>
    <xf numFmtId="0" fontId="25" fillId="8" borderId="2" xfId="0" applyFont="1" applyFill="1" applyBorder="1" applyAlignment="1">
      <alignment horizontal="center" vertical="center" textRotation="90"/>
    </xf>
    <xf numFmtId="0" fontId="9" fillId="11" borderId="2" xfId="0" applyFont="1" applyFill="1" applyBorder="1" applyAlignment="1">
      <alignment horizontal="center" vertical="center" wrapText="1"/>
    </xf>
    <xf numFmtId="41" fontId="25" fillId="8" borderId="2" xfId="0" applyNumberFormat="1" applyFont="1" applyFill="1" applyBorder="1" applyAlignment="1">
      <alignment horizontal="center" vertical="center" wrapText="1"/>
    </xf>
    <xf numFmtId="0" fontId="9" fillId="9" borderId="0" xfId="0" applyFont="1" applyFill="1" applyBorder="1" applyAlignment="1">
      <alignment horizontal="left"/>
    </xf>
    <xf numFmtId="0" fontId="31" fillId="9" borderId="2" xfId="0" applyFont="1" applyFill="1" applyBorder="1" applyAlignment="1">
      <alignment horizontal="left" vertical="center"/>
    </xf>
    <xf numFmtId="41" fontId="9" fillId="3" borderId="2" xfId="0" applyNumberFormat="1" applyFont="1" applyFill="1" applyBorder="1" applyAlignment="1">
      <alignment horizontal="left" vertical="center" wrapText="1"/>
    </xf>
    <xf numFmtId="0" fontId="31" fillId="3" borderId="2" xfId="0" applyFont="1" applyFill="1" applyBorder="1" applyAlignment="1">
      <alignment horizontal="left" vertical="center"/>
    </xf>
    <xf numFmtId="41" fontId="25" fillId="8" borderId="2" xfId="0" applyNumberFormat="1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 applyProtection="1">
      <alignment horizontal="left" vertical="center"/>
      <protection locked="0"/>
    </xf>
    <xf numFmtId="0" fontId="25" fillId="8" borderId="2" xfId="0" applyFont="1" applyFill="1" applyBorder="1" applyAlignment="1">
      <alignment horizontal="left" vertical="center" wrapText="1"/>
    </xf>
    <xf numFmtId="0" fontId="30" fillId="9" borderId="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24" fillId="10" borderId="2" xfId="0" applyFont="1" applyFill="1" applyBorder="1" applyAlignment="1">
      <alignment horizontal="left" vertical="center" wrapText="1"/>
    </xf>
    <xf numFmtId="41" fontId="24" fillId="8" borderId="2" xfId="0" applyNumberFormat="1" applyFont="1" applyFill="1" applyBorder="1" applyAlignment="1">
      <alignment horizontal="center" vertical="center" wrapText="1"/>
    </xf>
    <xf numFmtId="0" fontId="24" fillId="8" borderId="29" xfId="0" applyFont="1" applyFill="1" applyBorder="1" applyAlignment="1">
      <alignment horizontal="center" vertical="center" wrapText="1"/>
    </xf>
    <xf numFmtId="0" fontId="24" fillId="8" borderId="30" xfId="0" applyFont="1" applyFill="1" applyBorder="1" applyAlignment="1">
      <alignment horizontal="center" vertical="center" wrapText="1"/>
    </xf>
    <xf numFmtId="0" fontId="24" fillId="10" borderId="29" xfId="0" applyFont="1" applyFill="1" applyBorder="1" applyAlignment="1">
      <alignment horizontal="center" vertical="center" wrapText="1"/>
    </xf>
    <xf numFmtId="0" fontId="24" fillId="10" borderId="30" xfId="0" applyFont="1" applyFill="1" applyBorder="1" applyAlignment="1">
      <alignment horizontal="center" vertical="center" wrapText="1"/>
    </xf>
    <xf numFmtId="0" fontId="47" fillId="19" borderId="29" xfId="0" applyFont="1" applyFill="1" applyBorder="1" applyAlignment="1">
      <alignment horizontal="left" vertical="top" wrapText="1"/>
    </xf>
    <xf numFmtId="0" fontId="47" fillId="19" borderId="0" xfId="0" applyFont="1" applyFill="1" applyBorder="1" applyAlignment="1">
      <alignment horizontal="left" vertical="top" wrapText="1"/>
    </xf>
    <xf numFmtId="0" fontId="46" fillId="14" borderId="2" xfId="0" applyFont="1" applyFill="1" applyBorder="1" applyAlignment="1">
      <alignment horizontal="center" vertical="center" wrapText="1"/>
    </xf>
    <xf numFmtId="41" fontId="24" fillId="8" borderId="3" xfId="0" applyNumberFormat="1" applyFont="1" applyFill="1" applyBorder="1" applyAlignment="1">
      <alignment horizontal="center" vertical="center" wrapText="1"/>
    </xf>
    <xf numFmtId="41" fontId="24" fillId="8" borderId="5" xfId="0" applyNumberFormat="1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166" fontId="24" fillId="8" borderId="3" xfId="0" applyNumberFormat="1" applyFont="1" applyFill="1" applyBorder="1" applyAlignment="1">
      <alignment horizontal="center" vertical="center" wrapText="1"/>
    </xf>
    <xf numFmtId="166" fontId="24" fillId="8" borderId="5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74" fillId="9" borderId="12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 vertical="center" wrapText="1"/>
    </xf>
    <xf numFmtId="0" fontId="24" fillId="8" borderId="2" xfId="0" applyFont="1" applyFill="1" applyBorder="1" applyAlignment="1" applyProtection="1">
      <alignment horizontal="left" vertical="center"/>
      <protection locked="0"/>
    </xf>
    <xf numFmtId="0" fontId="32" fillId="8" borderId="2" xfId="0" applyFont="1" applyFill="1" applyBorder="1" applyAlignment="1">
      <alignment horizontal="center" vertical="center" wrapText="1"/>
    </xf>
    <xf numFmtId="165" fontId="32" fillId="8" borderId="2" xfId="3" applyFont="1" applyFill="1" applyBorder="1" applyAlignment="1">
      <alignment horizontal="center" vertical="center" wrapText="1"/>
    </xf>
    <xf numFmtId="0" fontId="32" fillId="8" borderId="2" xfId="0" applyFont="1" applyFill="1" applyBorder="1" applyAlignment="1">
      <alignment horizontal="center" vertical="center"/>
    </xf>
    <xf numFmtId="0" fontId="25" fillId="8" borderId="2" xfId="0" applyFont="1" applyFill="1" applyBorder="1" applyAlignment="1">
      <alignment horizontal="center" vertical="center" wrapText="1"/>
    </xf>
    <xf numFmtId="0" fontId="25" fillId="8" borderId="21" xfId="0" applyFont="1" applyFill="1" applyBorder="1" applyAlignment="1">
      <alignment horizontal="left" vertical="center"/>
    </xf>
    <xf numFmtId="0" fontId="25" fillId="8" borderId="22" xfId="0" applyFont="1" applyFill="1" applyBorder="1" applyAlignment="1">
      <alignment horizontal="left" vertical="center"/>
    </xf>
    <xf numFmtId="0" fontId="25" fillId="8" borderId="12" xfId="0" applyFont="1" applyFill="1" applyBorder="1" applyAlignment="1">
      <alignment horizontal="left" vertical="center"/>
    </xf>
    <xf numFmtId="0" fontId="25" fillId="8" borderId="4" xfId="0" applyFont="1" applyFill="1" applyBorder="1" applyAlignment="1">
      <alignment horizontal="left" vertical="center"/>
    </xf>
    <xf numFmtId="0" fontId="82" fillId="8" borderId="16" xfId="0" applyFont="1" applyFill="1" applyBorder="1" applyAlignment="1">
      <alignment horizontal="left"/>
    </xf>
    <xf numFmtId="0" fontId="82" fillId="8" borderId="12" xfId="0" applyFont="1" applyFill="1" applyBorder="1" applyAlignment="1">
      <alignment horizontal="left"/>
    </xf>
    <xf numFmtId="0" fontId="82" fillId="8" borderId="4" xfId="0" applyFont="1" applyFill="1" applyBorder="1" applyAlignment="1">
      <alignment horizontal="left"/>
    </xf>
    <xf numFmtId="0" fontId="80" fillId="24" borderId="21" xfId="0" applyFont="1" applyFill="1" applyBorder="1" applyAlignment="1">
      <alignment horizontal="left" vertical="top" wrapText="1"/>
    </xf>
    <xf numFmtId="0" fontId="80" fillId="24" borderId="22" xfId="0" applyFont="1" applyFill="1" applyBorder="1" applyAlignment="1">
      <alignment horizontal="left" vertical="top" wrapText="1"/>
    </xf>
    <xf numFmtId="0" fontId="80" fillId="24" borderId="23" xfId="0" applyFont="1" applyFill="1" applyBorder="1" applyAlignment="1">
      <alignment horizontal="left" vertical="top" wrapText="1"/>
    </xf>
    <xf numFmtId="0" fontId="80" fillId="24" borderId="29" xfId="0" applyFont="1" applyFill="1" applyBorder="1" applyAlignment="1">
      <alignment horizontal="left" vertical="top" wrapText="1"/>
    </xf>
    <xf numFmtId="0" fontId="80" fillId="24" borderId="0" xfId="0" applyFont="1" applyFill="1" applyBorder="1" applyAlignment="1">
      <alignment horizontal="left" vertical="top" wrapText="1"/>
    </xf>
    <xf numFmtId="0" fontId="80" fillId="24" borderId="30" xfId="0" applyFont="1" applyFill="1" applyBorder="1" applyAlignment="1">
      <alignment horizontal="left" vertical="top" wrapText="1"/>
    </xf>
    <xf numFmtId="0" fontId="80" fillId="24" borderId="31" xfId="0" applyFont="1" applyFill="1" applyBorder="1" applyAlignment="1">
      <alignment horizontal="left" vertical="top" wrapText="1"/>
    </xf>
    <xf numFmtId="0" fontId="80" fillId="24" borderId="32" xfId="0" applyFont="1" applyFill="1" applyBorder="1" applyAlignment="1">
      <alignment horizontal="left" vertical="top" wrapText="1"/>
    </xf>
    <xf numFmtId="0" fontId="80" fillId="24" borderId="33" xfId="0" applyFont="1" applyFill="1" applyBorder="1" applyAlignment="1">
      <alignment horizontal="left" vertical="top" wrapText="1"/>
    </xf>
    <xf numFmtId="0" fontId="0" fillId="3" borderId="0" xfId="0" applyFill="1" applyAlignment="1">
      <alignment horizontal="center" wrapText="1"/>
    </xf>
    <xf numFmtId="0" fontId="32" fillId="8" borderId="16" xfId="0" applyFont="1" applyFill="1" applyBorder="1" applyAlignment="1">
      <alignment horizontal="center" vertical="center"/>
    </xf>
    <xf numFmtId="0" fontId="32" fillId="8" borderId="12" xfId="0" applyFont="1" applyFill="1" applyBorder="1" applyAlignment="1">
      <alignment horizontal="center" vertical="center"/>
    </xf>
    <xf numFmtId="0" fontId="71" fillId="9" borderId="3" xfId="0" applyFont="1" applyFill="1" applyBorder="1" applyAlignment="1">
      <alignment horizontal="center" vertical="center" wrapText="1"/>
    </xf>
    <xf numFmtId="0" fontId="71" fillId="9" borderId="5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right" wrapText="1"/>
    </xf>
    <xf numFmtId="167" fontId="18" fillId="5" borderId="2" xfId="3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28" fillId="8" borderId="2" xfId="0" applyFont="1" applyFill="1" applyBorder="1" applyAlignment="1" applyProtection="1">
      <alignment horizontal="left" vertical="center"/>
      <protection locked="0"/>
    </xf>
    <xf numFmtId="0" fontId="26" fillId="9" borderId="0" xfId="0" applyFont="1" applyFill="1" applyBorder="1" applyAlignment="1">
      <alignment horizontal="left" vertical="center" wrapText="1"/>
    </xf>
    <xf numFmtId="0" fontId="27" fillId="8" borderId="2" xfId="0" applyFont="1" applyFill="1" applyBorder="1" applyAlignment="1" applyProtection="1">
      <alignment horizontal="left" vertical="center" wrapText="1"/>
      <protection locked="0"/>
    </xf>
    <xf numFmtId="0" fontId="8" fillId="2" borderId="2" xfId="0" applyFont="1" applyFill="1" applyBorder="1" applyAlignment="1" applyProtection="1">
      <alignment horizontal="left" vertical="center" wrapText="1"/>
      <protection locked="0"/>
    </xf>
    <xf numFmtId="0" fontId="28" fillId="22" borderId="16" xfId="0" applyFont="1" applyFill="1" applyBorder="1" applyAlignment="1">
      <alignment horizontal="left" vertical="center" wrapText="1"/>
    </xf>
    <xf numFmtId="0" fontId="28" fillId="22" borderId="12" xfId="0" applyFont="1" applyFill="1" applyBorder="1" applyAlignment="1">
      <alignment horizontal="left" vertical="center" wrapText="1"/>
    </xf>
    <xf numFmtId="0" fontId="28" fillId="22" borderId="4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 applyProtection="1">
      <alignment horizontal="center" vertical="center" wrapText="1"/>
      <protection locked="0"/>
    </xf>
    <xf numFmtId="0" fontId="8" fillId="2" borderId="12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27" fillId="8" borderId="16" xfId="0" applyFont="1" applyFill="1" applyBorder="1" applyAlignment="1" applyProtection="1">
      <alignment horizontal="left" vertical="center" wrapText="1"/>
      <protection locked="0"/>
    </xf>
    <xf numFmtId="0" fontId="27" fillId="8" borderId="12" xfId="0" applyFont="1" applyFill="1" applyBorder="1" applyAlignment="1" applyProtection="1">
      <alignment horizontal="left" vertical="center" wrapText="1"/>
      <protection locked="0"/>
    </xf>
    <xf numFmtId="0" fontId="27" fillId="8" borderId="4" xfId="0" applyFont="1" applyFill="1" applyBorder="1" applyAlignment="1" applyProtection="1">
      <alignment horizontal="left" vertical="center" wrapText="1"/>
      <protection locked="0"/>
    </xf>
    <xf numFmtId="0" fontId="8" fillId="2" borderId="16" xfId="0" applyFont="1" applyFill="1" applyBorder="1" applyAlignment="1" applyProtection="1">
      <alignment horizontal="left" vertical="center" wrapText="1"/>
      <protection locked="0"/>
    </xf>
    <xf numFmtId="0" fontId="8" fillId="2" borderId="12" xfId="0" applyFont="1" applyFill="1" applyBorder="1" applyAlignment="1" applyProtection="1">
      <alignment horizontal="left" vertical="center" wrapText="1"/>
      <protection locked="0"/>
    </xf>
    <xf numFmtId="0" fontId="8" fillId="2" borderId="4" xfId="0" applyFont="1" applyFill="1" applyBorder="1" applyAlignment="1" applyProtection="1">
      <alignment horizontal="left" vertical="center" wrapText="1"/>
      <protection locked="0"/>
    </xf>
    <xf numFmtId="0" fontId="27" fillId="8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26" fillId="3" borderId="12" xfId="0" applyFont="1" applyFill="1" applyBorder="1" applyAlignment="1">
      <alignment horizontal="left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8" borderId="16" xfId="0" applyFont="1" applyFill="1" applyBorder="1" applyAlignment="1">
      <alignment horizontal="center" vertical="center" wrapText="1"/>
    </xf>
    <xf numFmtId="0" fontId="27" fillId="8" borderId="12" xfId="0" applyFont="1" applyFill="1" applyBorder="1" applyAlignment="1">
      <alignment horizontal="center" vertical="center" wrapText="1"/>
    </xf>
    <xf numFmtId="0" fontId="27" fillId="8" borderId="4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58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 wrapText="1"/>
    </xf>
    <xf numFmtId="0" fontId="28" fillId="8" borderId="16" xfId="0" applyFont="1" applyFill="1" applyBorder="1" applyAlignment="1">
      <alignment horizontal="right" vertical="center" wrapText="1"/>
    </xf>
    <xf numFmtId="0" fontId="28" fillId="8" borderId="12" xfId="0" applyFont="1" applyFill="1" applyBorder="1" applyAlignment="1">
      <alignment horizontal="right" vertical="center" wrapText="1"/>
    </xf>
    <xf numFmtId="0" fontId="28" fillId="8" borderId="4" xfId="0" applyFont="1" applyFill="1" applyBorder="1" applyAlignment="1">
      <alignment horizontal="right" vertical="center" wrapText="1"/>
    </xf>
    <xf numFmtId="0" fontId="45" fillId="0" borderId="0" xfId="0" applyFont="1" applyBorder="1" applyAlignment="1">
      <alignment horizontal="center" vertical="center"/>
    </xf>
    <xf numFmtId="0" fontId="27" fillId="8" borderId="16" xfId="0" applyFont="1" applyFill="1" applyBorder="1" applyAlignment="1">
      <alignment horizontal="left" vertical="center" wrapText="1"/>
    </xf>
    <xf numFmtId="0" fontId="27" fillId="8" borderId="12" xfId="0" applyFont="1" applyFill="1" applyBorder="1" applyAlignment="1">
      <alignment horizontal="left" vertical="center" wrapText="1"/>
    </xf>
    <xf numFmtId="0" fontId="27" fillId="8" borderId="4" xfId="0" applyFont="1" applyFill="1" applyBorder="1" applyAlignment="1">
      <alignment horizontal="left" vertical="center" wrapText="1"/>
    </xf>
    <xf numFmtId="0" fontId="8" fillId="6" borderId="22" xfId="0" applyFont="1" applyFill="1" applyBorder="1" applyAlignment="1">
      <alignment horizontal="left" vertical="center" wrapText="1"/>
    </xf>
    <xf numFmtId="0" fontId="8" fillId="6" borderId="0" xfId="0" applyFont="1" applyFill="1" applyAlignment="1">
      <alignment horizontal="left" vertical="center" wrapText="1"/>
    </xf>
    <xf numFmtId="0" fontId="8" fillId="3" borderId="16" xfId="0" applyFont="1" applyFill="1" applyBorder="1" applyAlignment="1" applyProtection="1">
      <alignment horizontal="left" vertical="center" wrapText="1"/>
      <protection locked="0"/>
    </xf>
    <xf numFmtId="0" fontId="8" fillId="3" borderId="12" xfId="0" applyFont="1" applyFill="1" applyBorder="1" applyAlignment="1" applyProtection="1">
      <alignment horizontal="left" vertical="center" wrapText="1"/>
      <protection locked="0"/>
    </xf>
    <xf numFmtId="0" fontId="8" fillId="3" borderId="4" xfId="0" applyFont="1" applyFill="1" applyBorder="1" applyAlignment="1" applyProtection="1">
      <alignment horizontal="left" vertical="center" wrapText="1"/>
      <protection locked="0"/>
    </xf>
    <xf numFmtId="0" fontId="26" fillId="4" borderId="1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8" fillId="9" borderId="29" xfId="0" applyFont="1" applyFill="1" applyBorder="1" applyAlignment="1">
      <alignment horizontal="center" vertical="center" wrapText="1"/>
    </xf>
    <xf numFmtId="0" fontId="8" fillId="9" borderId="0" xfId="0" applyFont="1" applyFill="1" applyAlignment="1">
      <alignment horizontal="center" vertical="center" wrapText="1"/>
    </xf>
    <xf numFmtId="0" fontId="8" fillId="2" borderId="2" xfId="0" applyFont="1" applyFill="1" applyBorder="1" applyAlignment="1" applyProtection="1">
      <alignment horizontal="left" wrapText="1"/>
      <protection locked="0"/>
    </xf>
    <xf numFmtId="0" fontId="8" fillId="2" borderId="16" xfId="0" applyFont="1" applyFill="1" applyBorder="1" applyAlignment="1" applyProtection="1">
      <alignment horizontal="center" wrapText="1"/>
      <protection locked="0"/>
    </xf>
    <xf numFmtId="0" fontId="8" fillId="2" borderId="12" xfId="0" applyFont="1" applyFill="1" applyBorder="1" applyAlignment="1" applyProtection="1">
      <alignment horizontal="center" wrapText="1"/>
      <protection locked="0"/>
    </xf>
    <xf numFmtId="0" fontId="8" fillId="2" borderId="4" xfId="0" applyFont="1" applyFill="1" applyBorder="1" applyAlignment="1" applyProtection="1">
      <alignment horizontal="center" wrapText="1"/>
      <protection locked="0"/>
    </xf>
    <xf numFmtId="0" fontId="8" fillId="2" borderId="16" xfId="0" applyFont="1" applyFill="1" applyBorder="1" applyAlignment="1" applyProtection="1">
      <alignment horizontal="left" wrapText="1"/>
      <protection locked="0"/>
    </xf>
    <xf numFmtId="0" fontId="8" fillId="2" borderId="12" xfId="0" applyFont="1" applyFill="1" applyBorder="1" applyAlignment="1" applyProtection="1">
      <alignment horizontal="left" wrapText="1"/>
      <protection locked="0"/>
    </xf>
    <xf numFmtId="0" fontId="8" fillId="2" borderId="4" xfId="0" applyFont="1" applyFill="1" applyBorder="1" applyAlignment="1" applyProtection="1">
      <alignment horizontal="left" wrapText="1"/>
      <protection locked="0"/>
    </xf>
    <xf numFmtId="0" fontId="8" fillId="27" borderId="2" xfId="0" applyFont="1" applyFill="1" applyBorder="1" applyAlignment="1" applyProtection="1">
      <alignment horizontal="left" wrapText="1"/>
      <protection locked="0"/>
    </xf>
    <xf numFmtId="0" fontId="8" fillId="2" borderId="2" xfId="0" applyFont="1" applyFill="1" applyBorder="1" applyAlignment="1">
      <alignment horizontal="left" wrapText="1"/>
    </xf>
    <xf numFmtId="0" fontId="28" fillId="8" borderId="16" xfId="0" applyFont="1" applyFill="1" applyBorder="1" applyAlignment="1">
      <alignment horizontal="right" wrapText="1"/>
    </xf>
    <xf numFmtId="0" fontId="28" fillId="8" borderId="12" xfId="0" applyFont="1" applyFill="1" applyBorder="1" applyAlignment="1">
      <alignment horizontal="right" wrapText="1"/>
    </xf>
    <xf numFmtId="0" fontId="28" fillId="8" borderId="4" xfId="0" applyFont="1" applyFill="1" applyBorder="1" applyAlignment="1">
      <alignment horizontal="right" wrapText="1"/>
    </xf>
    <xf numFmtId="0" fontId="45" fillId="0" borderId="0" xfId="0" applyFont="1" applyBorder="1" applyAlignment="1">
      <alignment horizontal="center"/>
    </xf>
    <xf numFmtId="0" fontId="8" fillId="6" borderId="22" xfId="0" applyFont="1" applyFill="1" applyBorder="1" applyAlignment="1">
      <alignment horizontal="left" wrapText="1"/>
    </xf>
    <xf numFmtId="0" fontId="8" fillId="6" borderId="0" xfId="0" applyFont="1" applyFill="1" applyAlignment="1">
      <alignment horizontal="left" wrapText="1"/>
    </xf>
    <xf numFmtId="0" fontId="8" fillId="3" borderId="16" xfId="0" applyFont="1" applyFill="1" applyBorder="1" applyAlignment="1" applyProtection="1">
      <alignment horizontal="left" wrapText="1"/>
      <protection locked="0"/>
    </xf>
    <xf numFmtId="0" fontId="8" fillId="3" borderId="12" xfId="0" applyFont="1" applyFill="1" applyBorder="1" applyAlignment="1" applyProtection="1">
      <alignment horizontal="left" wrapText="1"/>
      <protection locked="0"/>
    </xf>
    <xf numFmtId="0" fontId="8" fillId="3" borderId="4" xfId="0" applyFont="1" applyFill="1" applyBorder="1" applyAlignment="1" applyProtection="1">
      <alignment horizontal="left" wrapText="1"/>
      <protection locked="0"/>
    </xf>
    <xf numFmtId="0" fontId="26" fillId="4" borderId="1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left" wrapText="1"/>
    </xf>
    <xf numFmtId="0" fontId="8" fillId="9" borderId="21" xfId="0" applyFont="1" applyFill="1" applyBorder="1" applyAlignment="1" applyProtection="1">
      <alignment horizontal="left" wrapText="1"/>
      <protection locked="0"/>
    </xf>
    <xf numFmtId="0" fontId="8" fillId="9" borderId="22" xfId="0" applyFont="1" applyFill="1" applyBorder="1" applyAlignment="1" applyProtection="1">
      <alignment horizontal="left" wrapText="1"/>
      <protection locked="0"/>
    </xf>
    <xf numFmtId="0" fontId="8" fillId="9" borderId="23" xfId="0" applyFont="1" applyFill="1" applyBorder="1" applyAlignment="1" applyProtection="1">
      <alignment horizontal="left" wrapText="1"/>
      <protection locked="0"/>
    </xf>
    <xf numFmtId="0" fontId="8" fillId="9" borderId="31" xfId="0" applyFont="1" applyFill="1" applyBorder="1" applyAlignment="1" applyProtection="1">
      <alignment horizontal="left" wrapText="1"/>
      <protection locked="0"/>
    </xf>
    <xf numFmtId="0" fontId="8" fillId="9" borderId="32" xfId="0" applyFont="1" applyFill="1" applyBorder="1" applyAlignment="1" applyProtection="1">
      <alignment horizontal="left" wrapText="1"/>
      <protection locked="0"/>
    </xf>
    <xf numFmtId="0" fontId="8" fillId="9" borderId="33" xfId="0" applyFont="1" applyFill="1" applyBorder="1" applyAlignment="1" applyProtection="1">
      <alignment horizontal="left" wrapText="1"/>
      <protection locked="0"/>
    </xf>
    <xf numFmtId="0" fontId="8" fillId="3" borderId="0" xfId="0" applyFont="1" applyFill="1" applyBorder="1" applyAlignment="1">
      <alignment horizontal="left" wrapText="1"/>
    </xf>
    <xf numFmtId="0" fontId="34" fillId="21" borderId="3" xfId="0" applyFont="1" applyFill="1" applyBorder="1" applyAlignment="1">
      <alignment horizontal="center" vertical="center" wrapText="1"/>
    </xf>
    <xf numFmtId="0" fontId="34" fillId="21" borderId="58" xfId="0" applyFont="1" applyFill="1" applyBorder="1" applyAlignment="1">
      <alignment horizontal="center" vertical="center" wrapText="1"/>
    </xf>
    <xf numFmtId="0" fontId="34" fillId="21" borderId="5" xfId="0" applyFont="1" applyFill="1" applyBorder="1" applyAlignment="1">
      <alignment horizontal="center" vertical="center" wrapText="1"/>
    </xf>
    <xf numFmtId="0" fontId="34" fillId="18" borderId="3" xfId="0" quotePrefix="1" applyFont="1" applyFill="1" applyBorder="1" applyAlignment="1">
      <alignment horizontal="center" vertical="center" wrapText="1"/>
    </xf>
    <xf numFmtId="0" fontId="34" fillId="18" borderId="58" xfId="0" quotePrefix="1" applyFont="1" applyFill="1" applyBorder="1" applyAlignment="1">
      <alignment horizontal="center" vertical="center" wrapText="1"/>
    </xf>
    <xf numFmtId="0" fontId="34" fillId="18" borderId="5" xfId="0" quotePrefix="1" applyFont="1" applyFill="1" applyBorder="1" applyAlignment="1">
      <alignment horizontal="center" vertical="center" wrapText="1"/>
    </xf>
    <xf numFmtId="0" fontId="34" fillId="21" borderId="3" xfId="0" quotePrefix="1" applyFont="1" applyFill="1" applyBorder="1" applyAlignment="1">
      <alignment horizontal="center" vertical="center" wrapText="1"/>
    </xf>
    <xf numFmtId="0" fontId="34" fillId="21" borderId="58" xfId="0" quotePrefix="1" applyFont="1" applyFill="1" applyBorder="1" applyAlignment="1">
      <alignment horizontal="center" vertical="center" wrapText="1"/>
    </xf>
    <xf numFmtId="0" fontId="34" fillId="21" borderId="5" xfId="0" quotePrefix="1" applyFont="1" applyFill="1" applyBorder="1" applyAlignment="1">
      <alignment horizontal="center" vertical="center" wrapText="1"/>
    </xf>
    <xf numFmtId="0" fontId="34" fillId="18" borderId="3" xfId="0" applyFont="1" applyFill="1" applyBorder="1" applyAlignment="1">
      <alignment horizontal="center" vertical="center" wrapText="1"/>
    </xf>
    <xf numFmtId="0" fontId="34" fillId="18" borderId="5" xfId="0" applyFont="1" applyFill="1" applyBorder="1" applyAlignment="1">
      <alignment horizontal="center" vertical="center" wrapText="1"/>
    </xf>
  </cellXfs>
  <cellStyles count="15">
    <cellStyle name="Moeda" xfId="14" builtinId="4"/>
    <cellStyle name="Moeda 2" xfId="5"/>
    <cellStyle name="Neutra" xfId="1" builtinId="28"/>
    <cellStyle name="Normal" xfId="0" builtinId="0"/>
    <cellStyle name="Normal 2" xfId="4"/>
    <cellStyle name="Normal 2 2" xfId="13"/>
    <cellStyle name="Normal 3" xfId="7"/>
    <cellStyle name="Normal 3 2" xfId="8"/>
    <cellStyle name="Normal 3 2 2" xfId="12"/>
    <cellStyle name="Porcentagem" xfId="2" builtinId="5"/>
    <cellStyle name="Porcentagem 2" xfId="11"/>
    <cellStyle name="Vírgula" xfId="3" builtinId="3"/>
    <cellStyle name="Vírgula 2" xfId="6"/>
    <cellStyle name="Vírgula 2 2" xfId="10"/>
    <cellStyle name="Vírgula 4" xfId="9"/>
  </cellStyles>
  <dxfs count="0"/>
  <tableStyles count="0" defaultTableStyle="TableStyleMedium2" defaultPivotStyle="PivotStyleLight16"/>
  <colors>
    <mruColors>
      <color rgb="FF008080"/>
      <color rgb="FF33CCCC"/>
      <color rgb="FF009999"/>
      <color rgb="FFF2F2F2"/>
      <color rgb="FFFFFFFF"/>
      <color rgb="FFF6FAF4"/>
      <color rgb="FFB9FFFF"/>
      <color rgb="FFD7E9E0"/>
      <color rgb="FFECFCFC"/>
      <color rgb="FFB2ED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57151</xdr:colOff>
      <xdr:row>1</xdr:row>
      <xdr:rowOff>19050</xdr:rowOff>
    </xdr:from>
    <xdr:to>
      <xdr:col>8</xdr:col>
      <xdr:colOff>571501</xdr:colOff>
      <xdr:row>2</xdr:row>
      <xdr:rowOff>533400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5" t="6757" r="17885" b="-6757"/>
        <a:stretch/>
      </xdr:blipFill>
      <xdr:spPr bwMode="auto">
        <a:xfrm>
          <a:off x="304801" y="219075"/>
          <a:ext cx="5086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23974425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11</xdr:col>
      <xdr:colOff>200025</xdr:colOff>
      <xdr:row>2</xdr:row>
      <xdr:rowOff>390525</xdr:rowOff>
    </xdr:to>
    <xdr:pic>
      <xdr:nvPicPr>
        <xdr:cNvPr id="1025" name="Imagem 2" descr="CAU-BR-timbrado2015-edit-13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724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285750</xdr:colOff>
      <xdr:row>15</xdr:row>
      <xdr:rowOff>105055</xdr:rowOff>
    </xdr:from>
    <xdr:to>
      <xdr:col>13</xdr:col>
      <xdr:colOff>228441</xdr:colOff>
      <xdr:row>19</xdr:row>
      <xdr:rowOff>95250</xdr:rowOff>
    </xdr:to>
    <xdr:sp macro="" textlink="">
      <xdr:nvSpPr>
        <xdr:cNvPr id="8" name="Seta para a direita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6988268" y="4006103"/>
          <a:ext cx="1161331" cy="788614"/>
        </a:xfrm>
        <a:prstGeom prst="rightArrow">
          <a:avLst/>
        </a:prstGeom>
        <a:solidFill>
          <a:srgbClr val="00808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294155</xdr:colOff>
      <xdr:row>14</xdr:row>
      <xdr:rowOff>113460</xdr:rowOff>
    </xdr:from>
    <xdr:to>
      <xdr:col>18</xdr:col>
      <xdr:colOff>322730</xdr:colOff>
      <xdr:row>19</xdr:row>
      <xdr:rowOff>173691</xdr:rowOff>
    </xdr:to>
    <xdr:sp macro="" textlink="">
      <xdr:nvSpPr>
        <xdr:cNvPr id="10" name="Retângulo de cantos arredondados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8215313" y="3811401"/>
          <a:ext cx="3075174" cy="1061757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Clicar duas vezes no objetivo estratégico,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na 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figura ao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lado,</a:t>
          </a: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 incluir os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objetivos locais</a:t>
          </a:r>
          <a:endParaRPr lang="pt-BR" sz="1500">
            <a:solidFill>
              <a:schemeClr val="tx1"/>
            </a:solidFill>
            <a:effectLst/>
          </a:endParaRPr>
        </a:p>
        <a:p>
          <a:pPr algn="l"/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32</xdr:row>
      <xdr:rowOff>32422</xdr:rowOff>
    </xdr:from>
    <xdr:to>
      <xdr:col>10</xdr:col>
      <xdr:colOff>569026</xdr:colOff>
      <xdr:row>54</xdr:row>
      <xdr:rowOff>19792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CCFBD726-9AFA-435B-878B-B60F22F08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1675"/>
          <a:ext cx="6630390" cy="4069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384073</xdr:colOff>
      <xdr:row>40</xdr:row>
      <xdr:rowOff>76815</xdr:rowOff>
    </xdr:from>
    <xdr:to>
      <xdr:col>18</xdr:col>
      <xdr:colOff>412648</xdr:colOff>
      <xdr:row>46</xdr:row>
      <xdr:rowOff>14142</xdr:rowOff>
    </xdr:to>
    <xdr:sp macro="" textlink="">
      <xdr:nvSpPr>
        <xdr:cNvPr id="11" name="Retângulo de cantos arredondados 1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8372783" y="9525000"/>
          <a:ext cx="3101155" cy="1043457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5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Torna-se</a:t>
          </a:r>
          <a:r>
            <a:rPr lang="pt-BR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facultativo a utilização dos ODS na Programação 2020.</a:t>
          </a:r>
          <a:endParaRPr lang="pt-BR" sz="15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213228</xdr:colOff>
      <xdr:row>41</xdr:row>
      <xdr:rowOff>134651</xdr:rowOff>
    </xdr:from>
    <xdr:to>
      <xdr:col>13</xdr:col>
      <xdr:colOff>155919</xdr:colOff>
      <xdr:row>45</xdr:row>
      <xdr:rowOff>170934</xdr:rowOff>
    </xdr:to>
    <xdr:sp macro="" textlink="">
      <xdr:nvSpPr>
        <xdr:cNvPr id="12" name="Seta para a direita 1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6972905" y="9767191"/>
          <a:ext cx="1171724" cy="773703"/>
        </a:xfrm>
        <a:prstGeom prst="rightArrow">
          <a:avLst/>
        </a:prstGeom>
        <a:solidFill>
          <a:srgbClr val="00808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123825</xdr:rowOff>
        </xdr:from>
        <xdr:to>
          <xdr:col>11</xdr:col>
          <xdr:colOff>19050</xdr:colOff>
          <xdr:row>29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19545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19545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0</xdr:row>
      <xdr:rowOff>0</xdr:rowOff>
    </xdr:from>
    <xdr:to>
      <xdr:col>3</xdr:col>
      <xdr:colOff>98983</xdr:colOff>
      <xdr:row>0</xdr:row>
      <xdr:rowOff>800100</xdr:rowOff>
    </xdr:to>
    <xdr:pic>
      <xdr:nvPicPr>
        <xdr:cNvPr id="2" name="Imagem 1" descr="CAU-BR-timbrado2015-edit-1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6538" y="0"/>
          <a:ext cx="1723079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</xdr:rowOff>
    </xdr:from>
    <xdr:to>
      <xdr:col>5</xdr:col>
      <xdr:colOff>1387928</xdr:colOff>
      <xdr:row>1</xdr:row>
      <xdr:rowOff>993913</xdr:rowOff>
    </xdr:to>
    <xdr:pic>
      <xdr:nvPicPr>
        <xdr:cNvPr id="4119" name="Imagem 2" descr="CAU-BR-timbrado2015-edit-13">
          <a:extLst>
            <a:ext uri="{FF2B5EF4-FFF2-40B4-BE49-F238E27FC236}">
              <a16:creationId xmlns:a16="http://schemas.microsoft.com/office/drawing/2014/main" xmlns="" id="{00000000-0008-0000-03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8759450" cy="118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36634</xdr:colOff>
      <xdr:row>0</xdr:row>
      <xdr:rowOff>12211</xdr:rowOff>
    </xdr:from>
    <xdr:to>
      <xdr:col>9</xdr:col>
      <xdr:colOff>1367692</xdr:colOff>
      <xdr:row>2</xdr:row>
      <xdr:rowOff>12212</xdr:rowOff>
    </xdr:to>
    <xdr:pic>
      <xdr:nvPicPr>
        <xdr:cNvPr id="3" name="Imagem 2" descr="CAU-BR-timbrado2015-edit-13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4" y="12211"/>
          <a:ext cx="10880481" cy="91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5</xdr:col>
      <xdr:colOff>581025</xdr:colOff>
      <xdr:row>2</xdr:row>
      <xdr:rowOff>314325</xdr:rowOff>
    </xdr:to>
    <xdr:pic>
      <xdr:nvPicPr>
        <xdr:cNvPr id="5125" name="Imagem 2" descr="CAU-BR-timbrado2015-edit-13">
          <a:extLst>
            <a:ext uri="{FF2B5EF4-FFF2-40B4-BE49-F238E27FC236}">
              <a16:creationId xmlns:a16="http://schemas.microsoft.com/office/drawing/2014/main" xmlns="" id="{00000000-0008-0000-05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0420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9</xdr:col>
      <xdr:colOff>142875</xdr:colOff>
      <xdr:row>3</xdr:row>
      <xdr:rowOff>178594</xdr:rowOff>
    </xdr:to>
    <xdr:pic>
      <xdr:nvPicPr>
        <xdr:cNvPr id="3" name="Imagem 2" descr="CAU-BR-timbrado2015-edit-1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8989219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0</xdr:row>
      <xdr:rowOff>0</xdr:rowOff>
    </xdr:from>
    <xdr:to>
      <xdr:col>9</xdr:col>
      <xdr:colOff>158750</xdr:colOff>
      <xdr:row>4</xdr:row>
      <xdr:rowOff>444500</xdr:rowOff>
    </xdr:to>
    <xdr:pic>
      <xdr:nvPicPr>
        <xdr:cNvPr id="2" name="Imagem 2" descr="CAU-BR-timbrado2015-edit-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0"/>
          <a:ext cx="36576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19\Reprograma&#231;&#227;o%202019\PARECERES\Parecer_%20Ordin&#225;rias\Finalizados\PARECER%20CAU_TO%20-%20Reprograma&#231;&#227;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"/>
      <sheetName val="Indicadores e Metas1"/>
      <sheetName val="CAPA"/>
      <sheetName val="ANÁLISE GERAL"/>
      <sheetName val="Matriz Objetivos x Projetos"/>
      <sheetName val="Indicadores e Metas"/>
      <sheetName val="FORM.1"/>
      <sheetName val="FORM.2"/>
      <sheetName val="FORM.3"/>
      <sheetName val="FORM.4"/>
      <sheetName val="Anexo_1.4_Dados"/>
      <sheetName val="FORM.5"/>
      <sheetName val="2019"/>
      <sheetName val="PARECER"/>
      <sheetName val="Anexo 1.4-Manut. Estr. Adm."/>
      <sheetName val="Anexo 1.4-Fiscalização"/>
      <sheetName val="Anexo 1.4-Presidência-Plenário"/>
      <sheetName val="Anexo 1.4-CPFI"/>
      <sheetName val="Anexo 1.4-CEDEP"/>
      <sheetName val="Anexo 1.4-CEF"/>
      <sheetName val="Anexo 1.4-CPUA"/>
      <sheetName val="Anexo 1.4-Atendimento"/>
      <sheetName val="Anexo 1.4-Comunicação"/>
      <sheetName val="Anexo 1.4-Capacitação"/>
      <sheetName val="Anexo 1.4-ATHIS"/>
      <sheetName val="Anexo 1.4-Fundo"/>
      <sheetName val="Anexo 1.4-CSC Fiscalização"/>
      <sheetName val="Anexo 1.4-CSC Atendimento"/>
      <sheetName val="Anexo 1.4-CSC SISCAF"/>
      <sheetName val="Anexo 1.4-Sede "/>
      <sheetName val="Sheet"/>
      <sheetName val="Anexo 1.4-Reserva Contingência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>
        <row r="18">
          <cell r="F18">
            <v>0.6378896882494004</v>
          </cell>
        </row>
        <row r="74">
          <cell r="F74">
            <v>0.55220725286540306</v>
          </cell>
        </row>
        <row r="78">
          <cell r="F78">
            <v>0.22900000000000001</v>
          </cell>
        </row>
        <row r="80">
          <cell r="F80">
            <v>0.46700000000000003</v>
          </cell>
        </row>
      </sheetData>
      <sheetData sheetId="7"/>
      <sheetData sheetId="8">
        <row r="8">
          <cell r="E8" t="str">
            <v>Manutenção da estrutura física e administrativa do CAU/TO</v>
          </cell>
          <cell r="G8" t="str">
            <v>Aprimorar e inovar os processos e as ações</v>
          </cell>
        </row>
        <row r="9">
          <cell r="E9" t="str">
            <v>Manter e desenvolver as atividades de Fiscalização do CAU/TO</v>
          </cell>
          <cell r="G9" t="str">
            <v>Tornar a fiscalização um vetor de melhoria do exercício da Arquitetura e Urbanismo</v>
          </cell>
        </row>
        <row r="10">
          <cell r="E10" t="str">
            <v>Atividades da Presidência e do Plenário do CAU/TO</v>
          </cell>
          <cell r="G10" t="str">
            <v>Aprimorar e inovar os processos e as ações</v>
          </cell>
        </row>
        <row r="11">
          <cell r="E11" t="str">
            <v>Manter as atividades da Comissão de Planejamento e Finanças do CAU/TO</v>
          </cell>
          <cell r="G11" t="str">
            <v>Construir cultura organizacional adequada à estratégia</v>
          </cell>
        </row>
        <row r="12">
          <cell r="E12" t="str">
            <v>Manter as atividades da Comissão de Ética e Disciplina e  Exercício Profissional - CEDEP</v>
          </cell>
          <cell r="G12" t="str">
            <v>Promover o exercício ético e qualificado da profissão</v>
          </cell>
        </row>
        <row r="13">
          <cell r="E13" t="str">
            <v>Manter as atividades da Comissão de Ensino e Formação do CAU/TO</v>
          </cell>
          <cell r="G13" t="str">
            <v>Influenciar as diretrizes do ensino de Arquitetura e Urbanismo e sua formação continuada</v>
          </cell>
        </row>
        <row r="14">
          <cell r="E14" t="str">
            <v>Manter as atividades da Comissão de Política Urbana e  Ambiental - CPUA</v>
          </cell>
          <cell r="G14" t="str">
            <v>Garantir a participação dos Arquitetos e Urbanistas no planejamento territorial e na gestão urbana</v>
          </cell>
        </row>
        <row r="15">
          <cell r="E15" t="str">
            <v>Atendimento e relacionamento com arquitetos e urbanistas e a sociedade</v>
          </cell>
          <cell r="G15" t="str">
            <v>Assegurar a eficácia no atendimento e no relacionamento com os Arquitetos e Urbanistas e a Sociedade</v>
          </cell>
        </row>
        <row r="16">
          <cell r="E16" t="str">
            <v>Relacionamento e comunicação com a sociedade</v>
          </cell>
          <cell r="G16" t="str">
            <v>Assegurar a eficácia no relacionamento e comunicação com a sociedade</v>
          </cell>
        </row>
        <row r="17">
          <cell r="E17" t="str">
            <v>Capacitação de dirigentes e colaboradores</v>
          </cell>
          <cell r="G17" t="str">
            <v>Desenvolver competências de dirigentes e colaboradores</v>
          </cell>
        </row>
        <row r="18">
          <cell r="E18" t="str">
            <v>Assistência Técnica em Habitações de Interesse Social – ATHIS</v>
          </cell>
          <cell r="G18" t="str">
            <v>Fomentar o acesso da sociedade à Arquitetura e Urbanismo</v>
          </cell>
        </row>
        <row r="19">
          <cell r="E19" t="str">
            <v>Contribuição ao Fundo de Apoio aos CAUs Básicos</v>
          </cell>
          <cell r="G19" t="str">
            <v>Assegurar a sustentabilidade financeira</v>
          </cell>
        </row>
        <row r="20">
          <cell r="E20" t="str">
            <v>Contribuição ao CSC - Fiscalização</v>
          </cell>
          <cell r="G20" t="str">
            <v>Tornar a fiscalização um vetor de melhoria do exercício da Arquitetura e Urbanismo</v>
          </cell>
        </row>
        <row r="21">
          <cell r="E21" t="str">
            <v>Contribuição ao CSC - Atendimento</v>
          </cell>
          <cell r="G21" t="str">
            <v>Assegurar a eficácia no atendimento e no relacionamento com os Arquitetos e Urbanistas e a Sociedade</v>
          </cell>
        </row>
        <row r="22">
          <cell r="E22" t="str">
            <v>Contribuição ao CSC  - SISCAF</v>
          </cell>
          <cell r="G22" t="str">
            <v>Ter sistemas de informação e infraestrutura que viabilizem a gestão e o atendimento dos arquitetos e urbanistas e a sociedade</v>
          </cell>
        </row>
        <row r="23">
          <cell r="E23" t="str">
            <v>Implantação da sede própria do CAU/TO</v>
          </cell>
          <cell r="G23" t="str">
            <v>Ter sistemas de informação e infraestrutura que viabilizem a gestão e o atendimento dos arquitetos e urbanistas e a sociedade</v>
          </cell>
        </row>
      </sheetData>
      <sheetData sheetId="9">
        <row r="13">
          <cell r="E13">
            <v>311696.95999999996</v>
          </cell>
        </row>
        <row r="14">
          <cell r="E14">
            <v>0.27515305703589205</v>
          </cell>
        </row>
        <row r="15">
          <cell r="E15">
            <v>143452.19</v>
          </cell>
        </row>
        <row r="16">
          <cell r="E16">
            <v>0.12663360148585864</v>
          </cell>
        </row>
        <row r="17">
          <cell r="E17">
            <v>42871.399999999994</v>
          </cell>
        </row>
        <row r="18">
          <cell r="E18">
            <v>3.7845081226998624E-2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87295.4</v>
          </cell>
        </row>
        <row r="22">
          <cell r="E22">
            <v>7.7060732883538582E-2</v>
          </cell>
        </row>
        <row r="23">
          <cell r="E23">
            <v>24000</v>
          </cell>
        </row>
        <row r="24">
          <cell r="E24">
            <v>2.1186197545402463E-2</v>
          </cell>
        </row>
        <row r="25">
          <cell r="E25">
            <v>0</v>
          </cell>
        </row>
        <row r="26">
          <cell r="E26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package" Target="../embeddings/Slide_do_Microsoft_PowerPoint1.sldx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3"/>
  <sheetViews>
    <sheetView showGridLines="0" topLeftCell="A3" workbookViewId="0">
      <selection activeCell="P6" sqref="P6"/>
    </sheetView>
  </sheetViews>
  <sheetFormatPr defaultRowHeight="15" x14ac:dyDescent="0.25"/>
  <cols>
    <col min="1" max="1" width="3.7109375" customWidth="1"/>
    <col min="2" max="2" width="9.42578125" customWidth="1"/>
    <col min="7" max="7" width="13.42578125" customWidth="1"/>
  </cols>
  <sheetData>
    <row r="1" spans="2:9" ht="15.75" thickBot="1" x14ac:dyDescent="0.3"/>
    <row r="2" spans="2:9" x14ac:dyDescent="0.25">
      <c r="B2" s="108"/>
      <c r="C2" s="109"/>
      <c r="D2" s="109"/>
      <c r="E2" s="109"/>
      <c r="F2" s="109"/>
      <c r="G2" s="109"/>
      <c r="H2" s="109"/>
      <c r="I2" s="110"/>
    </row>
    <row r="3" spans="2:9" ht="44.25" customHeight="1" x14ac:dyDescent="0.25">
      <c r="B3" s="111"/>
      <c r="C3" s="5"/>
      <c r="D3" s="5"/>
      <c r="E3" s="5"/>
      <c r="F3" s="5"/>
      <c r="G3" s="5"/>
      <c r="H3" s="5"/>
      <c r="I3" s="112"/>
    </row>
    <row r="4" spans="2:9" x14ac:dyDescent="0.25">
      <c r="B4" s="323" t="s">
        <v>153</v>
      </c>
      <c r="C4" s="324"/>
      <c r="D4" s="324"/>
      <c r="E4" s="324"/>
      <c r="F4" s="324"/>
      <c r="G4" s="324"/>
      <c r="H4" s="324"/>
      <c r="I4" s="325"/>
    </row>
    <row r="5" spans="2:9" ht="9" customHeight="1" thickBot="1" x14ac:dyDescent="0.3">
      <c r="B5" s="111"/>
      <c r="C5" s="5"/>
      <c r="D5" s="5"/>
      <c r="E5" s="5"/>
      <c r="F5" s="5"/>
      <c r="G5" s="5"/>
      <c r="H5" s="5"/>
      <c r="I5" s="112"/>
    </row>
    <row r="6" spans="2:9" ht="36.75" customHeight="1" thickBot="1" x14ac:dyDescent="0.3">
      <c r="B6" s="326" t="s">
        <v>138</v>
      </c>
      <c r="C6" s="327"/>
      <c r="D6" s="327"/>
      <c r="E6" s="327"/>
      <c r="F6" s="327"/>
      <c r="G6" s="327"/>
      <c r="H6" s="327"/>
      <c r="I6" s="328"/>
    </row>
    <row r="7" spans="2:9" ht="36.75" customHeight="1" thickBot="1" x14ac:dyDescent="0.3">
      <c r="B7" s="326" t="s">
        <v>139</v>
      </c>
      <c r="C7" s="327"/>
      <c r="D7" s="327"/>
      <c r="E7" s="327"/>
      <c r="F7" s="327"/>
      <c r="G7" s="327"/>
      <c r="H7" s="327"/>
      <c r="I7" s="328"/>
    </row>
    <row r="8" spans="2:9" ht="36.75" customHeight="1" thickBot="1" x14ac:dyDescent="0.3">
      <c r="B8" s="326" t="s">
        <v>154</v>
      </c>
      <c r="C8" s="327"/>
      <c r="D8" s="327"/>
      <c r="E8" s="327"/>
      <c r="F8" s="327"/>
      <c r="G8" s="327"/>
      <c r="H8" s="327"/>
      <c r="I8" s="328"/>
    </row>
    <row r="9" spans="2:9" ht="36.75" customHeight="1" thickBot="1" x14ac:dyDescent="0.3">
      <c r="B9" s="326" t="s">
        <v>140</v>
      </c>
      <c r="C9" s="327"/>
      <c r="D9" s="327"/>
      <c r="E9" s="327"/>
      <c r="F9" s="327"/>
      <c r="G9" s="327"/>
      <c r="H9" s="327"/>
      <c r="I9" s="328"/>
    </row>
    <row r="10" spans="2:9" ht="36.75" customHeight="1" thickBot="1" x14ac:dyDescent="0.3">
      <c r="B10" s="314" t="s">
        <v>141</v>
      </c>
      <c r="C10" s="315"/>
      <c r="D10" s="315"/>
      <c r="E10" s="315"/>
      <c r="F10" s="315"/>
      <c r="G10" s="315"/>
      <c r="H10" s="315"/>
      <c r="I10" s="316"/>
    </row>
    <row r="11" spans="2:9" ht="48" customHeight="1" thickBot="1" x14ac:dyDescent="0.3">
      <c r="B11" s="314" t="s">
        <v>142</v>
      </c>
      <c r="C11" s="315"/>
      <c r="D11" s="315"/>
      <c r="E11" s="315"/>
      <c r="F11" s="315"/>
      <c r="G11" s="315"/>
      <c r="H11" s="315"/>
      <c r="I11" s="316"/>
    </row>
    <row r="12" spans="2:9" ht="48.75" customHeight="1" thickBot="1" x14ac:dyDescent="0.3">
      <c r="B12" s="317" t="s">
        <v>271</v>
      </c>
      <c r="C12" s="318"/>
      <c r="D12" s="318"/>
      <c r="E12" s="318"/>
      <c r="F12" s="318"/>
      <c r="G12" s="318"/>
      <c r="H12" s="318"/>
      <c r="I12" s="319"/>
    </row>
    <row r="13" spans="2:9" ht="15.75" hidden="1" thickBot="1" x14ac:dyDescent="0.3">
      <c r="B13" s="320"/>
      <c r="C13" s="321"/>
      <c r="D13" s="321"/>
      <c r="E13" s="321"/>
      <c r="F13" s="321"/>
      <c r="G13" s="321"/>
      <c r="H13" s="321"/>
      <c r="I13" s="322"/>
    </row>
  </sheetData>
  <mergeCells count="9">
    <mergeCell ref="B11:I11"/>
    <mergeCell ref="B12:I12"/>
    <mergeCell ref="B13:I13"/>
    <mergeCell ref="B4:I4"/>
    <mergeCell ref="B6:I6"/>
    <mergeCell ref="B7:I7"/>
    <mergeCell ref="B8:I8"/>
    <mergeCell ref="B9:I9"/>
    <mergeCell ref="B10:I10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2"/>
  <sheetViews>
    <sheetView showGridLines="0" topLeftCell="D17" zoomScale="40" zoomScaleNormal="40" zoomScaleSheetLayoutView="80" workbookViewId="0">
      <selection activeCell="I22" sqref="I22:I25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91.57031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407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500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467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Geral'!D12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408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Geral'!E12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47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Geral'!F12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409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Geral'!H12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IFERROR(I21/$I$32*100,0)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22.25" customHeight="1" x14ac:dyDescent="0.4">
      <c r="A22" s="84">
        <v>1</v>
      </c>
      <c r="B22" s="285">
        <v>13</v>
      </c>
      <c r="C22" s="156" t="s">
        <v>503</v>
      </c>
      <c r="D22" s="74"/>
      <c r="E22" s="74" t="s">
        <v>508</v>
      </c>
      <c r="F22" s="75">
        <v>43831</v>
      </c>
      <c r="G22" s="75">
        <v>44196</v>
      </c>
      <c r="H22" s="231">
        <v>2004.75</v>
      </c>
      <c r="I22" s="231">
        <f>2369.25</f>
        <v>2369.25</v>
      </c>
      <c r="J22" s="86">
        <f t="shared" ref="J22:J31" si="0">I22-H22</f>
        <v>364.5</v>
      </c>
      <c r="K22" s="76">
        <f t="shared" ref="K22:K31" si="1">IFERROR(J22/H22*100,0)</f>
        <v>18.181818181818183</v>
      </c>
      <c r="L22" s="76">
        <f t="shared" ref="L22:L31" si="2">IFERROR(I22/$I$32*100,0)</f>
        <v>14.00589616158344</v>
      </c>
      <c r="M22" s="76" t="s">
        <v>64</v>
      </c>
      <c r="N22" s="103"/>
      <c r="O22" s="107">
        <f t="shared" ref="O22:O31" si="3">IFERROR(N22/I22*100,)</f>
        <v>0</v>
      </c>
      <c r="P22" s="74" t="s">
        <v>500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122.25" customHeight="1" x14ac:dyDescent="0.4">
      <c r="A23" s="84">
        <v>2</v>
      </c>
      <c r="B23" s="285">
        <v>13</v>
      </c>
      <c r="C23" s="74" t="s">
        <v>484</v>
      </c>
      <c r="D23" s="74"/>
      <c r="E23" s="74" t="s">
        <v>508</v>
      </c>
      <c r="F23" s="75">
        <v>43831</v>
      </c>
      <c r="G23" s="75">
        <v>44196</v>
      </c>
      <c r="H23" s="231">
        <v>0</v>
      </c>
      <c r="I23" s="231">
        <v>3843.84</v>
      </c>
      <c r="J23" s="86">
        <f t="shared" ref="J23" si="4">I23-H23</f>
        <v>3843.84</v>
      </c>
      <c r="K23" s="76">
        <f t="shared" ref="K23" si="5">IFERROR(J23/H23*100,0)</f>
        <v>0</v>
      </c>
      <c r="L23" s="76">
        <f t="shared" ref="L23" si="6">IFERROR(I23/$I$32*100,0)</f>
        <v>22.722981492768131</v>
      </c>
      <c r="M23" s="76" t="s">
        <v>64</v>
      </c>
      <c r="N23" s="103"/>
      <c r="O23" s="107">
        <f t="shared" si="3"/>
        <v>0</v>
      </c>
      <c r="P23" s="74" t="s">
        <v>500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122.25" customHeight="1" x14ac:dyDescent="0.4">
      <c r="A24" s="84">
        <v>3</v>
      </c>
      <c r="B24" s="285">
        <v>4</v>
      </c>
      <c r="C24" s="74" t="s">
        <v>485</v>
      </c>
      <c r="D24" s="74"/>
      <c r="E24" s="74" t="s">
        <v>561</v>
      </c>
      <c r="F24" s="75">
        <v>43831</v>
      </c>
      <c r="G24" s="75">
        <v>44196</v>
      </c>
      <c r="H24" s="231">
        <v>6237</v>
      </c>
      <c r="I24" s="231">
        <v>5103</v>
      </c>
      <c r="J24" s="86">
        <f t="shared" si="0"/>
        <v>-1134</v>
      </c>
      <c r="K24" s="76">
        <f t="shared" si="1"/>
        <v>-18.181818181818183</v>
      </c>
      <c r="L24" s="76">
        <f t="shared" si="2"/>
        <v>30.166545578795102</v>
      </c>
      <c r="M24" s="76" t="s">
        <v>64</v>
      </c>
      <c r="N24" s="103"/>
      <c r="O24" s="107">
        <f t="shared" si="3"/>
        <v>0</v>
      </c>
      <c r="P24" s="74" t="s">
        <v>500</v>
      </c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122.25" customHeight="1" x14ac:dyDescent="0.4">
      <c r="A25" s="84">
        <v>4</v>
      </c>
      <c r="B25" s="285">
        <v>4</v>
      </c>
      <c r="C25" s="74" t="s">
        <v>575</v>
      </c>
      <c r="D25" s="74"/>
      <c r="E25" s="74" t="s">
        <v>560</v>
      </c>
      <c r="F25" s="75">
        <v>43831</v>
      </c>
      <c r="G25" s="75">
        <v>44196</v>
      </c>
      <c r="H25" s="231">
        <v>5003.67</v>
      </c>
      <c r="I25" s="231">
        <v>5600</v>
      </c>
      <c r="J25" s="86">
        <f t="shared" si="0"/>
        <v>596.32999999999993</v>
      </c>
      <c r="K25" s="76">
        <f t="shared" si="1"/>
        <v>11.917852296414431</v>
      </c>
      <c r="L25" s="76">
        <f t="shared" si="2"/>
        <v>33.104576766853334</v>
      </c>
      <c r="M25" s="76" t="s">
        <v>346</v>
      </c>
      <c r="N25" s="103"/>
      <c r="O25" s="107">
        <f t="shared" si="3"/>
        <v>0</v>
      </c>
      <c r="P25" s="74" t="s">
        <v>500</v>
      </c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2.5" x14ac:dyDescent="0.4">
      <c r="A26" s="84">
        <v>5</v>
      </c>
      <c r="B26" s="84">
        <v>0</v>
      </c>
      <c r="C26" s="74" t="s">
        <v>486</v>
      </c>
      <c r="D26" s="74"/>
      <c r="E26" s="74"/>
      <c r="F26" s="75"/>
      <c r="G26" s="75"/>
      <c r="H26" s="231">
        <v>5000</v>
      </c>
      <c r="I26" s="231">
        <v>0</v>
      </c>
      <c r="J26" s="86">
        <f t="shared" si="0"/>
        <v>-5000</v>
      </c>
      <c r="K26" s="76">
        <f t="shared" si="1"/>
        <v>-100</v>
      </c>
      <c r="L26" s="76">
        <f t="shared" si="2"/>
        <v>0</v>
      </c>
      <c r="M26" s="76" t="s">
        <v>347</v>
      </c>
      <c r="N26" s="103"/>
      <c r="O26" s="107">
        <f t="shared" si="3"/>
        <v>0</v>
      </c>
      <c r="P26" s="74"/>
      <c r="Z26" s="161"/>
      <c r="AA26" s="162"/>
      <c r="AB26" s="156"/>
      <c r="AC26" s="156"/>
      <c r="AD26" s="156"/>
      <c r="AE26" s="156"/>
      <c r="AF26" s="156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  <c r="AA29" s="16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ht="55.5" hidden="1" customHeight="1" x14ac:dyDescent="0.25">
      <c r="A31" s="84"/>
      <c r="B31" s="74"/>
      <c r="C31" s="74"/>
      <c r="D31" s="74"/>
      <c r="E31" s="74"/>
      <c r="F31" s="75"/>
      <c r="G31" s="75"/>
      <c r="H31" s="231"/>
      <c r="I31" s="231"/>
      <c r="J31" s="86">
        <f t="shared" si="0"/>
        <v>0</v>
      </c>
      <c r="K31" s="76">
        <f t="shared" si="1"/>
        <v>0</v>
      </c>
      <c r="L31" s="76">
        <f t="shared" si="2"/>
        <v>0</v>
      </c>
      <c r="M31" s="76"/>
      <c r="N31" s="103"/>
      <c r="O31" s="107">
        <f t="shared" si="3"/>
        <v>0</v>
      </c>
      <c r="P31" s="74"/>
    </row>
    <row r="32" spans="1:36" s="2" customFormat="1" ht="24.75" customHeight="1" x14ac:dyDescent="0.25">
      <c r="A32" s="531" t="s">
        <v>0</v>
      </c>
      <c r="B32" s="532"/>
      <c r="C32" s="532"/>
      <c r="D32" s="532"/>
      <c r="E32" s="532"/>
      <c r="F32" s="532"/>
      <c r="G32" s="533"/>
      <c r="H32" s="288">
        <f>SUM(H21:H31)</f>
        <v>18245.419999999998</v>
      </c>
      <c r="I32" s="288">
        <f>SUM(I21:I31)</f>
        <v>16916.09</v>
      </c>
      <c r="J32" s="105">
        <f>I32-H32</f>
        <v>-1329.3299999999981</v>
      </c>
      <c r="K32" s="106">
        <f>IFERROR(J32/H32*100,0)</f>
        <v>-7.2858284435217069</v>
      </c>
      <c r="L32" s="106">
        <f>IFERROR(I32/$I$32*100,0)</f>
        <v>100</v>
      </c>
      <c r="M32" s="106"/>
      <c r="N32" s="289">
        <f>SUM(N21:N31)</f>
        <v>0</v>
      </c>
      <c r="O32" s="106">
        <f>IFERROR(N32/I32*100,)</f>
        <v>0</v>
      </c>
      <c r="P32" s="106"/>
    </row>
    <row r="33" spans="1:20" ht="36" customHeight="1" x14ac:dyDescent="0.25">
      <c r="A33" s="3"/>
      <c r="B33" s="3"/>
      <c r="C33" s="3"/>
      <c r="D33" s="3"/>
      <c r="E33" s="3"/>
      <c r="F33" s="3"/>
      <c r="G33" s="3"/>
      <c r="H33" s="201">
        <f>'Quadro Geral'!I12</f>
        <v>18245.419999999998</v>
      </c>
      <c r="I33" s="3"/>
      <c r="J33" s="3"/>
      <c r="K33" s="3"/>
      <c r="L33" s="3"/>
      <c r="M33" s="3"/>
      <c r="N33" s="3"/>
      <c r="O33" s="3"/>
      <c r="P33" s="3"/>
    </row>
    <row r="34" spans="1:20" x14ac:dyDescent="0.25">
      <c r="A34" s="534" t="s">
        <v>77</v>
      </c>
      <c r="B34" s="534"/>
      <c r="C34" s="534"/>
      <c r="D34" s="534"/>
      <c r="E34" s="534"/>
      <c r="F34" s="534"/>
      <c r="G34" s="534"/>
      <c r="H34" s="534"/>
      <c r="I34" s="534"/>
      <c r="J34" s="534"/>
      <c r="K34" s="534"/>
      <c r="L34" s="534"/>
      <c r="M34" s="534"/>
      <c r="N34" s="534"/>
      <c r="O34" s="534"/>
      <c r="P34" s="534"/>
    </row>
    <row r="35" spans="1:20" ht="36" customHeight="1" x14ac:dyDescent="0.25">
      <c r="A35" s="535" t="s">
        <v>379</v>
      </c>
      <c r="B35" s="536"/>
      <c r="C35" s="536"/>
      <c r="D35" s="536"/>
      <c r="E35" s="536"/>
      <c r="F35" s="536"/>
      <c r="G35" s="536"/>
      <c r="H35" s="536"/>
      <c r="I35" s="536"/>
      <c r="J35" s="536"/>
      <c r="K35" s="536"/>
      <c r="L35" s="536"/>
      <c r="M35" s="536"/>
      <c r="N35" s="536"/>
      <c r="O35" s="536"/>
      <c r="P35" s="537"/>
    </row>
    <row r="36" spans="1:20" ht="95.25" customHeight="1" x14ac:dyDescent="0.25">
      <c r="A36" s="540"/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2"/>
    </row>
    <row r="37" spans="1:20" ht="15" hidden="1" customHeight="1" x14ac:dyDescent="0.25">
      <c r="A37" s="543" t="s">
        <v>8</v>
      </c>
      <c r="B37" s="543"/>
      <c r="C37" s="543"/>
      <c r="D37" s="543"/>
      <c r="E37" s="543"/>
      <c r="F37" s="543"/>
      <c r="G37" s="290"/>
      <c r="H37" s="290"/>
      <c r="I37" s="290"/>
      <c r="J37" s="290"/>
      <c r="K37" s="290"/>
      <c r="L37" s="290"/>
      <c r="M37" s="290"/>
      <c r="N37" s="290"/>
      <c r="O37" s="290"/>
      <c r="P37" s="290"/>
    </row>
    <row r="38" spans="1:20" ht="15" hidden="1" customHeight="1" x14ac:dyDescent="0.25">
      <c r="A38" s="291" t="s">
        <v>12</v>
      </c>
      <c r="B38" s="544" t="s">
        <v>16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13</v>
      </c>
      <c r="B39" s="544" t="s">
        <v>9</v>
      </c>
      <c r="C39" s="544"/>
      <c r="D39" s="544"/>
      <c r="E39" s="544"/>
      <c r="F39" s="544"/>
      <c r="N39" s="156"/>
      <c r="O39" s="156"/>
      <c r="P39" s="156"/>
    </row>
    <row r="40" spans="1:20" ht="15" hidden="1" customHeight="1" x14ac:dyDescent="0.25">
      <c r="A40" s="291" t="s">
        <v>14</v>
      </c>
      <c r="B40" s="544" t="s">
        <v>10</v>
      </c>
      <c r="C40" s="544"/>
      <c r="D40" s="544"/>
      <c r="E40" s="544"/>
      <c r="F40" s="544"/>
      <c r="N40" s="156"/>
      <c r="O40" s="156"/>
      <c r="P40" s="156"/>
    </row>
    <row r="41" spans="1:20" ht="15" hidden="1" customHeight="1" x14ac:dyDescent="0.25">
      <c r="A41" s="291" t="s">
        <v>15</v>
      </c>
      <c r="B41" s="544" t="s">
        <v>11</v>
      </c>
      <c r="C41" s="544"/>
      <c r="D41" s="544"/>
      <c r="E41" s="544"/>
      <c r="F41" s="544"/>
      <c r="N41" s="156"/>
      <c r="O41" s="156"/>
      <c r="P41" s="156"/>
    </row>
    <row r="42" spans="1:20" ht="35.25" customHeight="1" x14ac:dyDescent="0.25"/>
    <row r="43" spans="1:20" ht="60" customHeight="1" x14ac:dyDescent="0.25">
      <c r="A43" s="535" t="s">
        <v>385</v>
      </c>
      <c r="B43" s="536"/>
      <c r="C43" s="536"/>
      <c r="D43" s="536"/>
      <c r="E43" s="536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7"/>
      <c r="Q43" s="133"/>
      <c r="R43" s="133"/>
      <c r="S43" s="133"/>
      <c r="T43" s="187"/>
    </row>
    <row r="44" spans="1:20" ht="26.25" customHeight="1" x14ac:dyDescent="0.25">
      <c r="A44" s="538" t="s">
        <v>389</v>
      </c>
      <c r="B44" s="538"/>
      <c r="C44" s="538"/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26.2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26.25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1.5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6.25" hidden="1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  <row r="91" spans="1:16" ht="26.25" hidden="1" customHeight="1" x14ac:dyDescent="0.25">
      <c r="A91" s="539"/>
      <c r="B91" s="539"/>
      <c r="C91" s="539"/>
      <c r="D91" s="539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539"/>
    </row>
    <row r="92" spans="1:16" ht="225.75" customHeight="1" x14ac:dyDescent="0.25">
      <c r="A92" s="539"/>
      <c r="B92" s="539"/>
      <c r="C92" s="539"/>
      <c r="D92" s="539"/>
      <c r="E92" s="539"/>
      <c r="F92" s="539"/>
      <c r="G92" s="539"/>
      <c r="H92" s="539"/>
      <c r="I92" s="539"/>
      <c r="J92" s="539"/>
      <c r="K92" s="539"/>
      <c r="L92" s="539"/>
      <c r="M92" s="539"/>
      <c r="N92" s="539"/>
      <c r="O92" s="539"/>
      <c r="P92" s="539"/>
    </row>
  </sheetData>
  <sheetProtection formatCells="0" formatRows="0" insertRows="0" deleteRows="0"/>
  <mergeCells count="52">
    <mergeCell ref="A44:P92"/>
    <mergeCell ref="A36:P36"/>
    <mergeCell ref="A37:F37"/>
    <mergeCell ref="B38:F38"/>
    <mergeCell ref="B39:F39"/>
    <mergeCell ref="B40:F40"/>
    <mergeCell ref="B41:F41"/>
    <mergeCell ref="O19:O20"/>
    <mergeCell ref="Q21:W21"/>
    <mergeCell ref="A32:G32"/>
    <mergeCell ref="A34:P34"/>
    <mergeCell ref="A43:P43"/>
    <mergeCell ref="A35:P35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M21:M31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D22:D31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5:AJ92"/>
  <sheetViews>
    <sheetView showGridLines="0" topLeftCell="D20" zoomScale="40" zoomScaleNormal="40" zoomScaleSheetLayoutView="80" workbookViewId="0">
      <selection activeCell="I22" sqref="I22:I27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56.5703125" style="156" customWidth="1"/>
    <col min="5" max="5" width="140.1406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410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411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468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Geral'!D13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506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Geral'!E13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326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Geral'!F13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412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Geral'!H13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IFERROR(I21/$I$32*100,0)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27.5" customHeight="1" x14ac:dyDescent="0.4">
      <c r="A22" s="84">
        <v>1</v>
      </c>
      <c r="B22" s="285">
        <v>13</v>
      </c>
      <c r="C22" s="156" t="s">
        <v>487</v>
      </c>
      <c r="D22" s="74"/>
      <c r="E22" s="74" t="s">
        <v>508</v>
      </c>
      <c r="F22" s="75">
        <v>43831</v>
      </c>
      <c r="G22" s="75">
        <v>44196</v>
      </c>
      <c r="H22" s="231">
        <v>0</v>
      </c>
      <c r="I22" s="295">
        <v>2369.25</v>
      </c>
      <c r="J22" s="86">
        <f t="shared" ref="J22:J31" si="0">I22-H22</f>
        <v>2369.25</v>
      </c>
      <c r="K22" s="76">
        <f t="shared" ref="K22:K31" si="1">IFERROR(J22/H22*100,0)</f>
        <v>0</v>
      </c>
      <c r="L22" s="76">
        <f>IFERROR(I22/$I$32*100,0)</f>
        <v>10.014570105794947</v>
      </c>
      <c r="M22" s="76" t="s">
        <v>64</v>
      </c>
      <c r="N22" s="103"/>
      <c r="O22" s="107">
        <f t="shared" ref="O22:O31" si="2">IFERROR(N22/I22*100,)</f>
        <v>0</v>
      </c>
      <c r="P22" s="74" t="s">
        <v>411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127.5" customHeight="1" x14ac:dyDescent="0.4">
      <c r="A23" s="84">
        <v>2</v>
      </c>
      <c r="B23" s="285">
        <v>13</v>
      </c>
      <c r="C23" s="74" t="s">
        <v>488</v>
      </c>
      <c r="D23" s="74"/>
      <c r="E23" s="74" t="s">
        <v>508</v>
      </c>
      <c r="F23" s="75">
        <v>43831</v>
      </c>
      <c r="G23" s="75">
        <v>44196</v>
      </c>
      <c r="H23" s="231">
        <v>0</v>
      </c>
      <c r="I23" s="295">
        <v>2142.14</v>
      </c>
      <c r="J23" s="86">
        <f t="shared" ref="J23" si="3">I23-H23</f>
        <v>2142.14</v>
      </c>
      <c r="K23" s="76">
        <f t="shared" ref="K23" si="4">IFERROR(J23/H23*100,0)</f>
        <v>0</v>
      </c>
      <c r="L23" s="76">
        <f>IFERROR(I23/$I$32*100,0)</f>
        <v>9.0546000660240953</v>
      </c>
      <c r="M23" s="76" t="s">
        <v>64</v>
      </c>
      <c r="N23" s="103"/>
      <c r="O23" s="107">
        <f t="shared" si="2"/>
        <v>0</v>
      </c>
      <c r="P23" s="74" t="s">
        <v>411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127.5" customHeight="1" x14ac:dyDescent="0.4">
      <c r="A24" s="84">
        <v>3</v>
      </c>
      <c r="B24" s="285">
        <v>2</v>
      </c>
      <c r="C24" s="74" t="s">
        <v>490</v>
      </c>
      <c r="D24" s="74"/>
      <c r="E24" s="74" t="s">
        <v>517</v>
      </c>
      <c r="F24" s="75">
        <v>43831</v>
      </c>
      <c r="G24" s="75">
        <v>44196</v>
      </c>
      <c r="H24" s="231">
        <v>3118.5</v>
      </c>
      <c r="I24" s="231">
        <v>2835</v>
      </c>
      <c r="J24" s="86">
        <f t="shared" si="0"/>
        <v>-283.5</v>
      </c>
      <c r="K24" s="76">
        <f t="shared" si="1"/>
        <v>-9.0909090909090917</v>
      </c>
      <c r="L24" s="76">
        <f t="shared" ref="L24:L32" si="5">IFERROR(I24/$I$32*100,0)</f>
        <v>11.983246280438397</v>
      </c>
      <c r="M24" s="76" t="s">
        <v>64</v>
      </c>
      <c r="N24" s="103"/>
      <c r="O24" s="107">
        <f t="shared" si="2"/>
        <v>0</v>
      </c>
      <c r="P24" s="74" t="s">
        <v>411</v>
      </c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127.5" customHeight="1" x14ac:dyDescent="0.4">
      <c r="A25" s="84">
        <v>4</v>
      </c>
      <c r="B25" s="285">
        <v>2</v>
      </c>
      <c r="C25" s="74" t="s">
        <v>572</v>
      </c>
      <c r="D25" s="74"/>
      <c r="E25" s="74" t="s">
        <v>516</v>
      </c>
      <c r="F25" s="75">
        <v>43831</v>
      </c>
      <c r="G25" s="75">
        <v>44196</v>
      </c>
      <c r="H25" s="231">
        <v>3463.29</v>
      </c>
      <c r="I25" s="231">
        <v>2800</v>
      </c>
      <c r="J25" s="86">
        <f t="shared" si="0"/>
        <v>-663.29</v>
      </c>
      <c r="K25" s="76">
        <f t="shared" si="1"/>
        <v>-19.152020188895531</v>
      </c>
      <c r="L25" s="76">
        <f t="shared" si="5"/>
        <v>11.835304968334219</v>
      </c>
      <c r="M25" s="76" t="s">
        <v>346</v>
      </c>
      <c r="N25" s="103"/>
      <c r="O25" s="107">
        <f t="shared" si="2"/>
        <v>0</v>
      </c>
      <c r="P25" s="74" t="s">
        <v>411</v>
      </c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127.5" customHeight="1" x14ac:dyDescent="0.4">
      <c r="A26" s="84">
        <v>5</v>
      </c>
      <c r="B26" s="285">
        <v>4</v>
      </c>
      <c r="C26" s="74" t="s">
        <v>518</v>
      </c>
      <c r="D26" s="294" t="s">
        <v>327</v>
      </c>
      <c r="E26" s="74" t="s">
        <v>519</v>
      </c>
      <c r="F26" s="75">
        <v>43831</v>
      </c>
      <c r="G26" s="75">
        <v>44196</v>
      </c>
      <c r="H26" s="231">
        <v>6000</v>
      </c>
      <c r="I26" s="231">
        <v>6000</v>
      </c>
      <c r="J26" s="86">
        <f t="shared" si="0"/>
        <v>0</v>
      </c>
      <c r="K26" s="76">
        <f t="shared" si="1"/>
        <v>0</v>
      </c>
      <c r="L26" s="76">
        <f t="shared" si="5"/>
        <v>25.361367789287613</v>
      </c>
      <c r="M26" s="275" t="s">
        <v>347</v>
      </c>
      <c r="N26" s="103"/>
      <c r="O26" s="107">
        <f t="shared" si="2"/>
        <v>0</v>
      </c>
      <c r="P26" s="74" t="s">
        <v>411</v>
      </c>
      <c r="Z26" s="161"/>
      <c r="AA26" s="162"/>
      <c r="AB26" s="156"/>
      <c r="AC26" s="156"/>
      <c r="AD26" s="156"/>
      <c r="AE26" s="156"/>
      <c r="AF26" s="156"/>
      <c r="AG26" s="161"/>
      <c r="AH26" s="161"/>
      <c r="AI26" s="161"/>
      <c r="AJ26" s="161"/>
    </row>
    <row r="27" spans="1:36" ht="127.5" customHeight="1" x14ac:dyDescent="0.25">
      <c r="A27" s="84">
        <v>6</v>
      </c>
      <c r="B27" s="285">
        <v>1</v>
      </c>
      <c r="C27" s="74" t="s">
        <v>491</v>
      </c>
      <c r="D27" s="294" t="s">
        <v>329</v>
      </c>
      <c r="E27" s="74" t="s">
        <v>520</v>
      </c>
      <c r="F27" s="75">
        <v>43831</v>
      </c>
      <c r="G27" s="75">
        <v>44196</v>
      </c>
      <c r="H27" s="231">
        <v>8901.2999999999993</v>
      </c>
      <c r="I27" s="231">
        <v>7511.64</v>
      </c>
      <c r="J27" s="86">
        <f t="shared" si="0"/>
        <v>-1389.6599999999989</v>
      </c>
      <c r="K27" s="76">
        <f t="shared" si="1"/>
        <v>-15.611876916854831</v>
      </c>
      <c r="L27" s="76">
        <f t="shared" si="5"/>
        <v>31.750910790120734</v>
      </c>
      <c r="M27" s="76" t="s">
        <v>347</v>
      </c>
      <c r="N27" s="103"/>
      <c r="O27" s="107">
        <f t="shared" si="2"/>
        <v>0</v>
      </c>
      <c r="P27" s="74" t="s">
        <v>411</v>
      </c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5"/>
        <v>0</v>
      </c>
      <c r="M28" s="76"/>
      <c r="N28" s="103"/>
      <c r="O28" s="107">
        <f t="shared" si="2"/>
        <v>0</v>
      </c>
      <c r="P28" s="74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5"/>
        <v>0</v>
      </c>
      <c r="M29" s="76"/>
      <c r="N29" s="103"/>
      <c r="O29" s="107">
        <f t="shared" si="2"/>
        <v>0</v>
      </c>
      <c r="P29" s="74"/>
      <c r="AA29" s="16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5"/>
        <v>0</v>
      </c>
      <c r="M30" s="76"/>
      <c r="N30" s="103"/>
      <c r="O30" s="107">
        <f t="shared" si="2"/>
        <v>0</v>
      </c>
      <c r="P30" s="74"/>
    </row>
    <row r="31" spans="1:36" ht="55.5" hidden="1" customHeight="1" x14ac:dyDescent="0.25">
      <c r="A31" s="84"/>
      <c r="B31" s="74"/>
      <c r="C31" s="74"/>
      <c r="D31" s="74"/>
      <c r="E31" s="74"/>
      <c r="F31" s="75"/>
      <c r="G31" s="75"/>
      <c r="H31" s="231"/>
      <c r="I31" s="231"/>
      <c r="J31" s="86">
        <f t="shared" si="0"/>
        <v>0</v>
      </c>
      <c r="K31" s="76">
        <f t="shared" si="1"/>
        <v>0</v>
      </c>
      <c r="L31" s="76">
        <f t="shared" si="5"/>
        <v>0</v>
      </c>
      <c r="M31" s="76"/>
      <c r="N31" s="103"/>
      <c r="O31" s="107">
        <f t="shared" si="2"/>
        <v>0</v>
      </c>
      <c r="P31" s="74"/>
    </row>
    <row r="32" spans="1:36" s="2" customFormat="1" ht="24.75" customHeight="1" x14ac:dyDescent="0.25">
      <c r="A32" s="531" t="s">
        <v>0</v>
      </c>
      <c r="B32" s="532"/>
      <c r="C32" s="532"/>
      <c r="D32" s="532"/>
      <c r="E32" s="532"/>
      <c r="F32" s="532"/>
      <c r="G32" s="533"/>
      <c r="H32" s="288">
        <f>SUM(H21:H31)</f>
        <v>21483.09</v>
      </c>
      <c r="I32" s="288">
        <f>SUM(I21:I31)</f>
        <v>23658.03</v>
      </c>
      <c r="J32" s="105">
        <f>I32-H32</f>
        <v>2174.9399999999987</v>
      </c>
      <c r="K32" s="106">
        <f>IFERROR(J32/H32*100,0)</f>
        <v>10.12396261431665</v>
      </c>
      <c r="L32" s="106">
        <f t="shared" si="5"/>
        <v>100</v>
      </c>
      <c r="M32" s="106"/>
      <c r="N32" s="289">
        <f>SUM(N21:N31)</f>
        <v>0</v>
      </c>
      <c r="O32" s="106">
        <f>IFERROR(N32/I32*100,)</f>
        <v>0</v>
      </c>
      <c r="P32" s="106"/>
    </row>
    <row r="33" spans="1:20" ht="41.25" customHeight="1" x14ac:dyDescent="0.25">
      <c r="A33" s="3"/>
      <c r="B33" s="3"/>
      <c r="C33" s="3"/>
      <c r="D33" s="3"/>
      <c r="E33" s="3"/>
      <c r="F33" s="3"/>
      <c r="G33" s="3"/>
      <c r="H33" s="201">
        <f>'Quadro Geral'!I13</f>
        <v>21483.09</v>
      </c>
      <c r="I33" s="3"/>
      <c r="J33" s="3"/>
      <c r="K33" s="3"/>
      <c r="L33" s="3"/>
      <c r="M33" s="3"/>
      <c r="N33" s="3"/>
      <c r="O33" s="3"/>
      <c r="P33" s="3"/>
    </row>
    <row r="34" spans="1:20" x14ac:dyDescent="0.25">
      <c r="A34" s="534" t="s">
        <v>77</v>
      </c>
      <c r="B34" s="534"/>
      <c r="C34" s="534"/>
      <c r="D34" s="534"/>
      <c r="E34" s="534"/>
      <c r="F34" s="534"/>
      <c r="G34" s="534"/>
      <c r="H34" s="534"/>
      <c r="I34" s="534"/>
      <c r="J34" s="534"/>
      <c r="K34" s="534"/>
      <c r="L34" s="534"/>
      <c r="M34" s="534"/>
      <c r="N34" s="534"/>
      <c r="O34" s="534"/>
      <c r="P34" s="534"/>
    </row>
    <row r="35" spans="1:20" ht="36" customHeight="1" x14ac:dyDescent="0.25">
      <c r="A35" s="535" t="s">
        <v>379</v>
      </c>
      <c r="B35" s="536"/>
      <c r="C35" s="536"/>
      <c r="D35" s="536"/>
      <c r="E35" s="536"/>
      <c r="F35" s="536"/>
      <c r="G35" s="536"/>
      <c r="H35" s="536"/>
      <c r="I35" s="536"/>
      <c r="J35" s="536"/>
      <c r="K35" s="536"/>
      <c r="L35" s="536"/>
      <c r="M35" s="536"/>
      <c r="N35" s="536"/>
      <c r="O35" s="536"/>
      <c r="P35" s="537"/>
    </row>
    <row r="36" spans="1:20" ht="95.25" customHeight="1" x14ac:dyDescent="0.25">
      <c r="A36" s="540"/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2"/>
    </row>
    <row r="37" spans="1:20" ht="15" hidden="1" customHeight="1" x14ac:dyDescent="0.25">
      <c r="A37" s="543" t="s">
        <v>8</v>
      </c>
      <c r="B37" s="543"/>
      <c r="C37" s="543"/>
      <c r="D37" s="543"/>
      <c r="E37" s="543"/>
      <c r="F37" s="543"/>
      <c r="G37" s="290"/>
      <c r="H37" s="290"/>
      <c r="I37" s="290"/>
      <c r="J37" s="290"/>
      <c r="K37" s="290"/>
      <c r="L37" s="290"/>
      <c r="M37" s="290"/>
      <c r="N37" s="290"/>
      <c r="O37" s="290"/>
      <c r="P37" s="290"/>
    </row>
    <row r="38" spans="1:20" ht="15" hidden="1" customHeight="1" x14ac:dyDescent="0.25">
      <c r="A38" s="291" t="s">
        <v>12</v>
      </c>
      <c r="B38" s="544" t="s">
        <v>16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13</v>
      </c>
      <c r="B39" s="544" t="s">
        <v>9</v>
      </c>
      <c r="C39" s="544"/>
      <c r="D39" s="544"/>
      <c r="E39" s="544"/>
      <c r="F39" s="544"/>
      <c r="N39" s="156"/>
      <c r="O39" s="156"/>
      <c r="P39" s="156"/>
    </row>
    <row r="40" spans="1:20" ht="15" hidden="1" customHeight="1" x14ac:dyDescent="0.25">
      <c r="A40" s="291" t="s">
        <v>14</v>
      </c>
      <c r="B40" s="544" t="s">
        <v>10</v>
      </c>
      <c r="C40" s="544"/>
      <c r="D40" s="544"/>
      <c r="E40" s="544"/>
      <c r="F40" s="544"/>
      <c r="N40" s="156"/>
      <c r="O40" s="156"/>
      <c r="P40" s="156"/>
    </row>
    <row r="41" spans="1:20" ht="15" hidden="1" customHeight="1" x14ac:dyDescent="0.25">
      <c r="A41" s="291" t="s">
        <v>15</v>
      </c>
      <c r="B41" s="544" t="s">
        <v>11</v>
      </c>
      <c r="C41" s="544"/>
      <c r="D41" s="544"/>
      <c r="E41" s="544"/>
      <c r="F41" s="544"/>
      <c r="N41" s="156"/>
      <c r="O41" s="156"/>
      <c r="P41" s="156"/>
    </row>
    <row r="42" spans="1:20" ht="35.25" customHeight="1" x14ac:dyDescent="0.25"/>
    <row r="43" spans="1:20" ht="60" customHeight="1" x14ac:dyDescent="0.25">
      <c r="A43" s="535" t="s">
        <v>385</v>
      </c>
      <c r="B43" s="536"/>
      <c r="C43" s="536"/>
      <c r="D43" s="536"/>
      <c r="E43" s="536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7"/>
      <c r="Q43" s="133"/>
      <c r="R43" s="133"/>
      <c r="S43" s="133"/>
      <c r="T43" s="187"/>
    </row>
    <row r="44" spans="1:20" ht="26.25" customHeight="1" x14ac:dyDescent="0.25">
      <c r="A44" s="538" t="s">
        <v>389</v>
      </c>
      <c r="B44" s="538"/>
      <c r="C44" s="538"/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26.2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26.25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1.5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6.25" hidden="1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  <row r="91" spans="1:16" ht="26.25" hidden="1" customHeight="1" x14ac:dyDescent="0.25">
      <c r="A91" s="539"/>
      <c r="B91" s="539"/>
      <c r="C91" s="539"/>
      <c r="D91" s="539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539"/>
    </row>
    <row r="92" spans="1:16" ht="225.75" customHeight="1" x14ac:dyDescent="0.25">
      <c r="A92" s="539"/>
      <c r="B92" s="539"/>
      <c r="C92" s="539"/>
      <c r="D92" s="539"/>
      <c r="E92" s="539"/>
      <c r="F92" s="539"/>
      <c r="G92" s="539"/>
      <c r="H92" s="539"/>
      <c r="I92" s="539"/>
      <c r="J92" s="539"/>
      <c r="K92" s="539"/>
      <c r="L92" s="539"/>
      <c r="M92" s="539"/>
      <c r="N92" s="539"/>
      <c r="O92" s="539"/>
      <c r="P92" s="539"/>
    </row>
  </sheetData>
  <sheetProtection formatCells="0" formatRows="0" insertRows="0" deleteRows="0"/>
  <mergeCells count="52">
    <mergeCell ref="A44:P92"/>
    <mergeCell ref="A36:P36"/>
    <mergeCell ref="A37:F37"/>
    <mergeCell ref="B38:F38"/>
    <mergeCell ref="B39:F39"/>
    <mergeCell ref="B40:F40"/>
    <mergeCell ref="B41:F41"/>
    <mergeCell ref="O19:O20"/>
    <mergeCell ref="Q21:W21"/>
    <mergeCell ref="A32:G32"/>
    <mergeCell ref="A34:P34"/>
    <mergeCell ref="A43:P43"/>
    <mergeCell ref="A35:P35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Resumo!$Q$1:$Q$16</xm:f>
          </x14:formula1>
          <xm:sqref>G14:P14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D22:D31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Resumo!$F$1:$F$12</xm:f>
          </x14:formula1>
          <xm:sqref>M21:M31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5:AJ86"/>
  <sheetViews>
    <sheetView showGridLines="0" topLeftCell="E19" zoomScale="40" zoomScaleNormal="40" zoomScaleSheetLayoutView="80" workbookViewId="0">
      <selection activeCell="I22" sqref="I22:I24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1.5703125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17" width="15.5703125" style="1" bestFit="1" customWidth="1"/>
    <col min="18" max="18" width="25.28515625" style="1" customWidth="1"/>
    <col min="19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521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413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393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524</v>
      </c>
      <c r="H12" s="552"/>
      <c r="I12" s="552"/>
      <c r="J12" s="552"/>
      <c r="K12" s="552"/>
      <c r="L12" s="552"/>
      <c r="M12" s="552"/>
      <c r="N12" s="552"/>
      <c r="O12" s="552"/>
      <c r="P12" s="553"/>
      <c r="Q12" s="1" t="b">
        <f>G12='Quadro Geral'!D14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54" t="str">
        <f>'Quadro Geral'!E14</f>
        <v>Realização das reuniões da comissão e participação em reuniões da comissão nacional</v>
      </c>
      <c r="H13" s="554"/>
      <c r="I13" s="554"/>
      <c r="J13" s="554"/>
      <c r="K13" s="554"/>
      <c r="L13" s="554"/>
      <c r="M13" s="554"/>
      <c r="N13" s="554"/>
      <c r="O13" s="554"/>
      <c r="P13" s="554"/>
      <c r="Q13" s="235" t="b">
        <f>G13='Quadro Geral'!E14</f>
        <v>1</v>
      </c>
      <c r="R13" s="235" t="str">
        <f>'Quadro Geral'!E14</f>
        <v>Realização das reuniões da comissão e participação em reuniões da comissão nacional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54" t="str">
        <f>'Quadro Geral'!F14</f>
        <v>Estimular a produção da Arquitetura e Urbanismo como política de Estado</v>
      </c>
      <c r="H14" s="554"/>
      <c r="I14" s="554"/>
      <c r="J14" s="554"/>
      <c r="K14" s="554"/>
      <c r="L14" s="554"/>
      <c r="M14" s="554"/>
      <c r="N14" s="554"/>
      <c r="O14" s="554"/>
      <c r="P14" s="554"/>
      <c r="Q14" s="235" t="b">
        <f>'Quadro Geral'!E14=G14</f>
        <v>0</v>
      </c>
      <c r="R14" s="235" t="str">
        <f>'Quadro Geral'!F14</f>
        <v>Estimular a produção da Arquitetura e Urbanismo como política de Estado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415</v>
      </c>
      <c r="H16" s="555"/>
      <c r="I16" s="555"/>
      <c r="J16" s="555"/>
      <c r="K16" s="555"/>
      <c r="L16" s="555"/>
      <c r="M16" s="555"/>
      <c r="N16" s="555"/>
      <c r="O16" s="555"/>
      <c r="P16" s="555"/>
      <c r="Q16" s="1" t="b">
        <f>'Quadro Geral'!H14=G16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0" t="s">
        <v>375</v>
      </c>
      <c r="C20" s="191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 t="shared" ref="L21:L26" si="0">IFERROR(I21/$I$26*100,0)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11" customHeight="1" x14ac:dyDescent="0.4">
      <c r="A22" s="84">
        <v>1</v>
      </c>
      <c r="B22" s="296">
        <v>2</v>
      </c>
      <c r="C22" s="74" t="s">
        <v>522</v>
      </c>
      <c r="D22" s="74"/>
      <c r="E22" s="74" t="s">
        <v>562</v>
      </c>
      <c r="F22" s="75">
        <v>43831</v>
      </c>
      <c r="G22" s="75">
        <v>44196</v>
      </c>
      <c r="H22" s="231">
        <v>6692.42</v>
      </c>
      <c r="I22" s="231">
        <v>2835</v>
      </c>
      <c r="J22" s="86">
        <f t="shared" ref="J22:J25" si="1">I22-H22</f>
        <v>-3857.42</v>
      </c>
      <c r="K22" s="76">
        <f t="shared" ref="K22:K25" si="2">IFERROR(J22/H22*100,0)</f>
        <v>-57.63864192623894</v>
      </c>
      <c r="L22" s="76">
        <f t="shared" si="0"/>
        <v>27.972372964972863</v>
      </c>
      <c r="M22" s="76" t="s">
        <v>64</v>
      </c>
      <c r="N22" s="103"/>
      <c r="O22" s="107">
        <f t="shared" ref="O22:O25" si="3">IFERROR(N22/I22*100,)</f>
        <v>0</v>
      </c>
      <c r="P22" s="74" t="s">
        <v>413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111" customHeight="1" x14ac:dyDescent="0.4">
      <c r="A23" s="84">
        <v>2</v>
      </c>
      <c r="B23" s="296">
        <v>2</v>
      </c>
      <c r="C23" s="74" t="s">
        <v>572</v>
      </c>
      <c r="D23" s="74"/>
      <c r="E23" s="74" t="s">
        <v>562</v>
      </c>
      <c r="F23" s="75">
        <v>43831</v>
      </c>
      <c r="G23" s="75">
        <v>44196</v>
      </c>
      <c r="H23" s="231">
        <v>2290.89</v>
      </c>
      <c r="I23" s="231">
        <v>2800</v>
      </c>
      <c r="J23" s="86">
        <f t="shared" si="1"/>
        <v>509.11000000000013</v>
      </c>
      <c r="K23" s="76">
        <f t="shared" si="2"/>
        <v>22.223240749228474</v>
      </c>
      <c r="L23" s="76">
        <f t="shared" si="0"/>
        <v>27.627035027133694</v>
      </c>
      <c r="M23" s="76" t="s">
        <v>346</v>
      </c>
      <c r="N23" s="103"/>
      <c r="O23" s="107">
        <f t="shared" si="3"/>
        <v>0</v>
      </c>
      <c r="P23" s="74" t="s">
        <v>413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111" customHeight="1" x14ac:dyDescent="0.4">
      <c r="A24" s="84">
        <v>3</v>
      </c>
      <c r="B24" s="296">
        <v>3</v>
      </c>
      <c r="C24" s="74" t="s">
        <v>492</v>
      </c>
      <c r="D24" s="74"/>
      <c r="E24" s="74" t="s">
        <v>523</v>
      </c>
      <c r="F24" s="75">
        <v>43831</v>
      </c>
      <c r="G24" s="75">
        <v>44196</v>
      </c>
      <c r="H24" s="231">
        <v>0</v>
      </c>
      <c r="I24" s="231">
        <v>4500</v>
      </c>
      <c r="J24" s="86">
        <f t="shared" si="1"/>
        <v>4500</v>
      </c>
      <c r="K24" s="76">
        <f t="shared" si="2"/>
        <v>0</v>
      </c>
      <c r="L24" s="76">
        <f t="shared" si="0"/>
        <v>44.400592007893444</v>
      </c>
      <c r="M24" s="76" t="s">
        <v>347</v>
      </c>
      <c r="N24" s="103"/>
      <c r="O24" s="107">
        <f t="shared" si="3"/>
        <v>0</v>
      </c>
      <c r="P24" s="74" t="s">
        <v>413</v>
      </c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111" customHeight="1" x14ac:dyDescent="0.25">
      <c r="A25" s="84">
        <v>4</v>
      </c>
      <c r="B25" s="84">
        <v>0</v>
      </c>
      <c r="C25" s="74" t="s">
        <v>495</v>
      </c>
      <c r="D25" s="74"/>
      <c r="E25" s="74"/>
      <c r="F25" s="75"/>
      <c r="G25" s="75"/>
      <c r="H25" s="231">
        <v>7680</v>
      </c>
      <c r="I25" s="231">
        <v>0</v>
      </c>
      <c r="J25" s="86">
        <f t="shared" si="1"/>
        <v>-7680</v>
      </c>
      <c r="K25" s="76">
        <f t="shared" si="2"/>
        <v>-100</v>
      </c>
      <c r="L25" s="76">
        <f t="shared" si="0"/>
        <v>0</v>
      </c>
      <c r="M25" s="76" t="s">
        <v>347</v>
      </c>
      <c r="N25" s="103"/>
      <c r="O25" s="107">
        <f t="shared" si="3"/>
        <v>0</v>
      </c>
      <c r="P25" s="74"/>
    </row>
    <row r="26" spans="1:36" s="2" customFormat="1" ht="24.75" customHeight="1" x14ac:dyDescent="0.4">
      <c r="A26" s="556" t="s">
        <v>0</v>
      </c>
      <c r="B26" s="557"/>
      <c r="C26" s="557"/>
      <c r="D26" s="557"/>
      <c r="E26" s="557"/>
      <c r="F26" s="557"/>
      <c r="G26" s="558"/>
      <c r="H26" s="232">
        <f>SUM(H21:H25)</f>
        <v>16663.309999999998</v>
      </c>
      <c r="I26" s="232">
        <f>SUM(I21:I25)</f>
        <v>10135</v>
      </c>
      <c r="J26" s="105">
        <f>I26-H26</f>
        <v>-6528.3099999999977</v>
      </c>
      <c r="K26" s="106">
        <f>IFERROR(J26/H26*100,0)</f>
        <v>-39.177750398930336</v>
      </c>
      <c r="L26" s="106">
        <f t="shared" si="0"/>
        <v>100</v>
      </c>
      <c r="M26" s="106"/>
      <c r="N26" s="104">
        <f>SUM(N21:N25)</f>
        <v>0</v>
      </c>
      <c r="O26" s="88">
        <f>IFERROR(N26/I26*100,)</f>
        <v>0</v>
      </c>
      <c r="P26" s="88"/>
    </row>
    <row r="27" spans="1:36" ht="30" customHeight="1" x14ac:dyDescent="0.4">
      <c r="A27" s="1"/>
      <c r="B27" s="1"/>
      <c r="C27" s="1"/>
      <c r="D27" s="1"/>
      <c r="E27" s="1"/>
      <c r="F27" s="1"/>
      <c r="G27" s="1"/>
      <c r="H27" s="234">
        <f>'Quadro Geral'!I14</f>
        <v>16663.309999999998</v>
      </c>
      <c r="I27" s="1"/>
      <c r="J27" s="1"/>
      <c r="K27" s="1"/>
      <c r="L27" s="1"/>
      <c r="M27" s="1"/>
      <c r="N27" s="1"/>
      <c r="O27" s="1"/>
      <c r="P27" s="1"/>
    </row>
    <row r="28" spans="1:36" x14ac:dyDescent="0.4">
      <c r="A28" s="559" t="s">
        <v>77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</row>
    <row r="29" spans="1:36" ht="36" customHeight="1" x14ac:dyDescent="0.25">
      <c r="A29" s="535" t="s">
        <v>379</v>
      </c>
      <c r="B29" s="536"/>
      <c r="C29" s="536"/>
      <c r="D29" s="536"/>
      <c r="E29" s="536"/>
      <c r="F29" s="536"/>
      <c r="G29" s="536"/>
      <c r="H29" s="536"/>
      <c r="I29" s="536"/>
      <c r="J29" s="536"/>
      <c r="K29" s="536"/>
      <c r="L29" s="536"/>
      <c r="M29" s="536"/>
      <c r="N29" s="536"/>
      <c r="O29" s="536"/>
      <c r="P29" s="537"/>
    </row>
    <row r="30" spans="1:36" ht="95.25" customHeight="1" x14ac:dyDescent="0.4">
      <c r="A30" s="562"/>
      <c r="B30" s="563"/>
      <c r="C30" s="563"/>
      <c r="D30" s="563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4"/>
    </row>
    <row r="31" spans="1:36" ht="15" hidden="1" customHeight="1" x14ac:dyDescent="0.4">
      <c r="A31" s="565" t="s">
        <v>8</v>
      </c>
      <c r="B31" s="565"/>
      <c r="C31" s="565"/>
      <c r="D31" s="565"/>
      <c r="E31" s="565"/>
      <c r="F31" s="565"/>
      <c r="G31" s="89"/>
      <c r="H31" s="89"/>
      <c r="I31" s="89"/>
      <c r="J31" s="89"/>
      <c r="K31" s="89"/>
      <c r="L31" s="89"/>
      <c r="M31" s="89"/>
      <c r="N31" s="89"/>
      <c r="O31" s="89"/>
      <c r="P31" s="89"/>
    </row>
    <row r="32" spans="1:36" ht="15" hidden="1" customHeight="1" x14ac:dyDescent="0.4">
      <c r="A32" s="90" t="s">
        <v>12</v>
      </c>
      <c r="B32" s="566" t="s">
        <v>16</v>
      </c>
      <c r="C32" s="566"/>
      <c r="D32" s="566"/>
      <c r="E32" s="566"/>
      <c r="F32" s="566"/>
      <c r="N32" s="42"/>
      <c r="O32" s="42"/>
      <c r="P32" s="42"/>
    </row>
    <row r="33" spans="1:20" ht="15" hidden="1" customHeight="1" x14ac:dyDescent="0.4">
      <c r="A33" s="90" t="s">
        <v>13</v>
      </c>
      <c r="B33" s="566" t="s">
        <v>9</v>
      </c>
      <c r="C33" s="566"/>
      <c r="D33" s="566"/>
      <c r="E33" s="566"/>
      <c r="F33" s="566"/>
      <c r="N33" s="42"/>
      <c r="O33" s="42"/>
      <c r="P33" s="42"/>
    </row>
    <row r="34" spans="1:20" ht="15" hidden="1" customHeight="1" x14ac:dyDescent="0.4">
      <c r="A34" s="90" t="s">
        <v>14</v>
      </c>
      <c r="B34" s="566" t="s">
        <v>10</v>
      </c>
      <c r="C34" s="566"/>
      <c r="D34" s="566"/>
      <c r="E34" s="566"/>
      <c r="F34" s="566"/>
      <c r="N34" s="42"/>
      <c r="O34" s="42"/>
      <c r="P34" s="42"/>
    </row>
    <row r="35" spans="1:20" ht="15" hidden="1" customHeight="1" x14ac:dyDescent="0.4">
      <c r="A35" s="90" t="s">
        <v>15</v>
      </c>
      <c r="B35" s="566" t="s">
        <v>11</v>
      </c>
      <c r="C35" s="566"/>
      <c r="D35" s="566"/>
      <c r="E35" s="566"/>
      <c r="F35" s="566"/>
      <c r="N35" s="42"/>
      <c r="O35" s="42"/>
      <c r="P35" s="42"/>
    </row>
    <row r="36" spans="1:20" ht="35.25" customHeight="1" x14ac:dyDescent="0.4"/>
    <row r="37" spans="1:20" ht="60" customHeight="1" x14ac:dyDescent="0.25">
      <c r="A37" s="535" t="s">
        <v>385</v>
      </c>
      <c r="B37" s="536"/>
      <c r="C37" s="536"/>
      <c r="D37" s="536"/>
      <c r="E37" s="536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7"/>
      <c r="Q37" s="133"/>
      <c r="R37" s="133"/>
      <c r="S37" s="133"/>
      <c r="T37" s="187"/>
    </row>
    <row r="38" spans="1:20" ht="26.25" customHeight="1" x14ac:dyDescent="0.25">
      <c r="A38" s="560" t="s">
        <v>389</v>
      </c>
      <c r="B38" s="560"/>
      <c r="C38" s="560"/>
      <c r="D38" s="560"/>
      <c r="E38" s="560"/>
      <c r="F38" s="560"/>
      <c r="G38" s="560"/>
      <c r="H38" s="560"/>
      <c r="I38" s="560"/>
      <c r="J38" s="560"/>
      <c r="K38" s="560"/>
      <c r="L38" s="560"/>
      <c r="M38" s="560"/>
      <c r="N38" s="560"/>
      <c r="O38" s="560"/>
      <c r="P38" s="560"/>
    </row>
    <row r="39" spans="1:20" ht="26.25" customHeight="1" x14ac:dyDescent="0.25">
      <c r="A39" s="561"/>
      <c r="B39" s="561"/>
      <c r="C39" s="561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</row>
    <row r="40" spans="1:20" ht="26.25" customHeight="1" x14ac:dyDescent="0.25">
      <c r="A40" s="561"/>
      <c r="B40" s="561"/>
      <c r="C40" s="561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</row>
    <row r="41" spans="1:20" ht="26.25" customHeight="1" x14ac:dyDescent="0.25">
      <c r="A41" s="561"/>
      <c r="B41" s="561"/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1:20" ht="26.25" customHeight="1" x14ac:dyDescent="0.25">
      <c r="A42" s="561"/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</row>
    <row r="43" spans="1:20" ht="26.25" customHeight="1" x14ac:dyDescent="0.25">
      <c r="A43" s="561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1.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hidden="1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hidden="1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hidden="1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26.25" hidden="1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26.25" hidden="1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25.75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</sheetData>
  <sheetProtection formatCells="0" formatRows="0" insertRows="0" deleteRows="0"/>
  <mergeCells count="52">
    <mergeCell ref="A38:P86"/>
    <mergeCell ref="A30:P30"/>
    <mergeCell ref="A31:F31"/>
    <mergeCell ref="B32:F32"/>
    <mergeCell ref="B33:F33"/>
    <mergeCell ref="B34:F34"/>
    <mergeCell ref="B35:F35"/>
    <mergeCell ref="O19:O20"/>
    <mergeCell ref="Q21:W21"/>
    <mergeCell ref="A26:G26"/>
    <mergeCell ref="A28:P28"/>
    <mergeCell ref="A37:P37"/>
    <mergeCell ref="A29:P29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  <x14:dataValidation type="list" allowBlank="1" showInputMessage="1" showErrorMessage="1">
          <x14:formula1>
            <xm:f>Resumo!$F$1:$F$12</xm:f>
          </x14:formula1>
          <xm:sqref>M21:M25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D22:D25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1"/>
  <sheetViews>
    <sheetView showGridLines="0" topLeftCell="D22" zoomScale="40" zoomScaleNormal="40" zoomScaleSheetLayoutView="80" workbookViewId="0">
      <selection activeCell="I22" sqref="I22:I28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91.57031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397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398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400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Geral'!D15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399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Geral'!E15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41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Geral'!F15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401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Geral'!H15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19.25" customHeight="1" x14ac:dyDescent="0.4">
      <c r="A22" s="84">
        <v>1</v>
      </c>
      <c r="B22" s="285">
        <v>12</v>
      </c>
      <c r="C22" s="156" t="s">
        <v>440</v>
      </c>
      <c r="D22" s="74"/>
      <c r="E22" s="74" t="s">
        <v>513</v>
      </c>
      <c r="F22" s="75">
        <v>43831</v>
      </c>
      <c r="G22" s="75">
        <v>44196</v>
      </c>
      <c r="H22" s="237">
        <v>249624.03999999998</v>
      </c>
      <c r="I22" s="302">
        <f>258544.9587+0.0013</f>
        <v>258544.96</v>
      </c>
      <c r="J22" s="86">
        <f t="shared" ref="J22:J30" si="0">I22-H22</f>
        <v>8920.9200000000128</v>
      </c>
      <c r="K22" s="76">
        <f t="shared" ref="K22:K30" si="1">IFERROR(J22/H22*100,0)</f>
        <v>3.5737423366755916</v>
      </c>
      <c r="L22" s="76">
        <f t="shared" ref="L22:L30" si="2">IFERROR(I22/$I$31*100,0)</f>
        <v>91.759088851928226</v>
      </c>
      <c r="M22" s="76" t="s">
        <v>92</v>
      </c>
      <c r="N22" s="237">
        <f>I22*0.5+293.5</f>
        <v>129565.98</v>
      </c>
      <c r="O22" s="107">
        <f t="shared" ref="O22:O30" si="3">IFERROR(N22/I22*100,)</f>
        <v>50.113519907717411</v>
      </c>
      <c r="P22" s="74" t="s">
        <v>398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119.25" customHeight="1" x14ac:dyDescent="0.4">
      <c r="A23" s="84">
        <v>2</v>
      </c>
      <c r="B23" s="285">
        <v>4</v>
      </c>
      <c r="C23" s="74" t="s">
        <v>441</v>
      </c>
      <c r="D23" s="294" t="s">
        <v>343</v>
      </c>
      <c r="E23" s="74" t="s">
        <v>525</v>
      </c>
      <c r="F23" s="75">
        <v>43831</v>
      </c>
      <c r="G23" s="75">
        <v>44196</v>
      </c>
      <c r="H23" s="237">
        <v>4738.5</v>
      </c>
      <c r="I23" s="237">
        <v>5832</v>
      </c>
      <c r="J23" s="86">
        <f t="shared" si="0"/>
        <v>1093.5</v>
      </c>
      <c r="K23" s="76">
        <f t="shared" si="1"/>
        <v>23.076923076923077</v>
      </c>
      <c r="L23" s="76">
        <f t="shared" si="2"/>
        <v>2.0698102418412851</v>
      </c>
      <c r="M23" s="76" t="s">
        <v>64</v>
      </c>
      <c r="N23" s="103"/>
      <c r="O23" s="107">
        <f t="shared" si="3"/>
        <v>0</v>
      </c>
      <c r="P23" s="74" t="s">
        <v>398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119.25" customHeight="1" x14ac:dyDescent="0.4">
      <c r="A24" s="84">
        <v>3</v>
      </c>
      <c r="B24" s="285">
        <v>0</v>
      </c>
      <c r="C24" s="74" t="s">
        <v>453</v>
      </c>
      <c r="D24" s="74"/>
      <c r="E24" s="285" t="s">
        <v>576</v>
      </c>
      <c r="F24" s="75">
        <v>43831</v>
      </c>
      <c r="G24" s="75">
        <v>44196</v>
      </c>
      <c r="H24" s="237">
        <v>3402</v>
      </c>
      <c r="I24" s="237">
        <v>0</v>
      </c>
      <c r="J24" s="86">
        <f t="shared" si="0"/>
        <v>-3402</v>
      </c>
      <c r="K24" s="76">
        <f t="shared" si="1"/>
        <v>-100</v>
      </c>
      <c r="L24" s="76">
        <f t="shared" si="2"/>
        <v>0</v>
      </c>
      <c r="M24" s="76" t="s">
        <v>64</v>
      </c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119.25" customHeight="1" x14ac:dyDescent="0.4">
      <c r="A25" s="84">
        <v>4</v>
      </c>
      <c r="B25" s="285">
        <v>0</v>
      </c>
      <c r="C25" s="74" t="s">
        <v>437</v>
      </c>
      <c r="D25" s="74"/>
      <c r="E25" s="285" t="s">
        <v>576</v>
      </c>
      <c r="F25" s="75">
        <v>43831</v>
      </c>
      <c r="G25" s="75">
        <v>44196</v>
      </c>
      <c r="H25" s="237">
        <v>3200</v>
      </c>
      <c r="I25" s="237">
        <v>0</v>
      </c>
      <c r="J25" s="86">
        <f t="shared" si="0"/>
        <v>-3200</v>
      </c>
      <c r="K25" s="76">
        <f t="shared" si="1"/>
        <v>-100</v>
      </c>
      <c r="L25" s="76">
        <f t="shared" si="2"/>
        <v>0</v>
      </c>
      <c r="M25" s="76" t="s">
        <v>346</v>
      </c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119.25" customHeight="1" x14ac:dyDescent="0.25">
      <c r="A26" s="84">
        <v>5</v>
      </c>
      <c r="B26" s="285">
        <v>12</v>
      </c>
      <c r="C26" s="74" t="s">
        <v>438</v>
      </c>
      <c r="D26" s="74"/>
      <c r="E26" s="74" t="s">
        <v>526</v>
      </c>
      <c r="F26" s="75">
        <v>43831</v>
      </c>
      <c r="G26" s="75">
        <v>44196</v>
      </c>
      <c r="H26" s="237">
        <v>3800.2200000000003</v>
      </c>
      <c r="I26" s="237">
        <v>3800</v>
      </c>
      <c r="J26" s="86">
        <f t="shared" si="0"/>
        <v>-0.22000000000025466</v>
      </c>
      <c r="K26" s="76">
        <f t="shared" si="1"/>
        <v>-5.7891385235658635E-3</v>
      </c>
      <c r="L26" s="76">
        <f t="shared" si="2"/>
        <v>1.3486417899514547</v>
      </c>
      <c r="M26" s="76" t="s">
        <v>347</v>
      </c>
      <c r="N26" s="103"/>
      <c r="O26" s="107">
        <f t="shared" si="3"/>
        <v>0</v>
      </c>
      <c r="P26" s="74" t="s">
        <v>398</v>
      </c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119.25" customHeight="1" x14ac:dyDescent="0.25">
      <c r="A27" s="84">
        <v>6</v>
      </c>
      <c r="B27" s="285">
        <v>1</v>
      </c>
      <c r="C27" s="74" t="s">
        <v>436</v>
      </c>
      <c r="D27" s="74"/>
      <c r="E27" s="74" t="s">
        <v>529</v>
      </c>
      <c r="F27" s="75">
        <v>43831</v>
      </c>
      <c r="G27" s="75">
        <v>44196</v>
      </c>
      <c r="H27" s="237">
        <v>1000</v>
      </c>
      <c r="I27" s="237">
        <v>1000</v>
      </c>
      <c r="J27" s="86">
        <f t="shared" si="0"/>
        <v>0</v>
      </c>
      <c r="K27" s="76">
        <f t="shared" si="1"/>
        <v>0</v>
      </c>
      <c r="L27" s="76">
        <f t="shared" si="2"/>
        <v>0.35490573419775129</v>
      </c>
      <c r="M27" s="76" t="s">
        <v>59</v>
      </c>
      <c r="N27" s="103"/>
      <c r="O27" s="107">
        <f t="shared" si="3"/>
        <v>0</v>
      </c>
      <c r="P27" s="74" t="s">
        <v>398</v>
      </c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119.25" customHeight="1" x14ac:dyDescent="0.25">
      <c r="A28" s="84">
        <v>7</v>
      </c>
      <c r="B28" s="285">
        <v>12</v>
      </c>
      <c r="C28" s="74" t="s">
        <v>439</v>
      </c>
      <c r="D28" s="74"/>
      <c r="E28" s="74" t="s">
        <v>528</v>
      </c>
      <c r="F28" s="75">
        <v>43831</v>
      </c>
      <c r="G28" s="75">
        <v>44196</v>
      </c>
      <c r="H28" s="237">
        <v>11820.25</v>
      </c>
      <c r="I28" s="237">
        <v>12588</v>
      </c>
      <c r="J28" s="86">
        <f t="shared" si="0"/>
        <v>767.75</v>
      </c>
      <c r="K28" s="76">
        <f t="shared" si="1"/>
        <v>6.4952094921850207</v>
      </c>
      <c r="L28" s="76">
        <f t="shared" si="2"/>
        <v>4.4675533820812925</v>
      </c>
      <c r="M28" s="76" t="s">
        <v>347</v>
      </c>
      <c r="N28" s="103"/>
      <c r="O28" s="107">
        <f t="shared" si="3"/>
        <v>0</v>
      </c>
      <c r="P28" s="74" t="s">
        <v>398</v>
      </c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7"/>
      <c r="I29" s="237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7"/>
      <c r="I30" s="237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25">
      <c r="A31" s="531" t="s">
        <v>0</v>
      </c>
      <c r="B31" s="532"/>
      <c r="C31" s="532"/>
      <c r="D31" s="532"/>
      <c r="E31" s="532"/>
      <c r="F31" s="532"/>
      <c r="G31" s="533"/>
      <c r="H31" s="293">
        <f>SUM(H21:H30)</f>
        <v>277585.00999999995</v>
      </c>
      <c r="I31" s="293">
        <f>SUM(I21:I30)</f>
        <v>281764.95999999996</v>
      </c>
      <c r="J31" s="105">
        <f>I31-H31</f>
        <v>4179.9500000000116</v>
      </c>
      <c r="K31" s="106">
        <f>IFERROR(J31/H31*100,0)</f>
        <v>1.5058269897210992</v>
      </c>
      <c r="L31" s="106">
        <f>IFERROR(I31/$I$31*100,0)</f>
        <v>100</v>
      </c>
      <c r="M31" s="106"/>
      <c r="N31" s="289">
        <f>SUM(N21:N30)</f>
        <v>129565.98</v>
      </c>
      <c r="O31" s="106">
        <f>IFERROR(N31/I31*100,)</f>
        <v>45.983709258951158</v>
      </c>
      <c r="P31" s="106"/>
    </row>
    <row r="32" spans="1:36" ht="37.5" customHeight="1" x14ac:dyDescent="0.25">
      <c r="A32" s="3"/>
      <c r="B32" s="3"/>
      <c r="C32" s="3"/>
      <c r="D32" s="3"/>
      <c r="E32" s="3"/>
      <c r="F32" s="3"/>
      <c r="G32" s="3"/>
      <c r="H32" s="201">
        <f>'Quadro Geral'!I15</f>
        <v>277585.00999999995</v>
      </c>
      <c r="I32" s="3"/>
      <c r="J32" s="3"/>
      <c r="K32" s="3"/>
      <c r="L32" s="3"/>
      <c r="M32" s="3"/>
      <c r="N32" s="3"/>
      <c r="O32" s="3"/>
      <c r="P32" s="3"/>
    </row>
    <row r="33" spans="1:20" x14ac:dyDescent="0.25">
      <c r="A33" s="534" t="s">
        <v>77</v>
      </c>
      <c r="B33" s="534"/>
      <c r="C33" s="534"/>
      <c r="D33" s="534"/>
      <c r="E33" s="534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4"/>
    </row>
    <row r="34" spans="1:20" ht="36" customHeight="1" x14ac:dyDescent="0.25">
      <c r="A34" s="535" t="s">
        <v>379</v>
      </c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7"/>
    </row>
    <row r="35" spans="1:20" ht="95.25" customHeight="1" x14ac:dyDescent="0.25">
      <c r="A35" s="540"/>
      <c r="B35" s="541"/>
      <c r="C35" s="541"/>
      <c r="D35" s="541"/>
      <c r="E35" s="541"/>
      <c r="F35" s="541"/>
      <c r="G35" s="541"/>
      <c r="H35" s="541"/>
      <c r="I35" s="541"/>
      <c r="J35" s="541"/>
      <c r="K35" s="541"/>
      <c r="L35" s="541"/>
      <c r="M35" s="541"/>
      <c r="N35" s="541"/>
      <c r="O35" s="541"/>
      <c r="P35" s="542"/>
    </row>
    <row r="36" spans="1:20" ht="15" hidden="1" customHeight="1" x14ac:dyDescent="0.25">
      <c r="A36" s="543" t="s">
        <v>8</v>
      </c>
      <c r="B36" s="543"/>
      <c r="C36" s="543"/>
      <c r="D36" s="543"/>
      <c r="E36" s="543"/>
      <c r="F36" s="543"/>
      <c r="G36" s="290"/>
      <c r="H36" s="290"/>
      <c r="I36" s="290"/>
      <c r="J36" s="290"/>
      <c r="K36" s="290"/>
      <c r="L36" s="290"/>
      <c r="M36" s="290"/>
      <c r="N36" s="290"/>
      <c r="O36" s="290"/>
      <c r="P36" s="290"/>
    </row>
    <row r="37" spans="1:20" ht="15" hidden="1" customHeight="1" x14ac:dyDescent="0.25">
      <c r="A37" s="291" t="s">
        <v>12</v>
      </c>
      <c r="B37" s="544" t="s">
        <v>16</v>
      </c>
      <c r="C37" s="544"/>
      <c r="D37" s="544"/>
      <c r="E37" s="544"/>
      <c r="F37" s="544"/>
      <c r="N37" s="156"/>
      <c r="O37" s="156"/>
      <c r="P37" s="156"/>
    </row>
    <row r="38" spans="1:20" ht="15" hidden="1" customHeight="1" x14ac:dyDescent="0.25">
      <c r="A38" s="291" t="s">
        <v>13</v>
      </c>
      <c r="B38" s="544" t="s">
        <v>9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14</v>
      </c>
      <c r="B39" s="544" t="s">
        <v>10</v>
      </c>
      <c r="C39" s="544"/>
      <c r="D39" s="544"/>
      <c r="E39" s="544"/>
      <c r="F39" s="544"/>
      <c r="N39" s="156"/>
      <c r="O39" s="156"/>
      <c r="P39" s="156"/>
    </row>
    <row r="40" spans="1:20" ht="15" hidden="1" customHeight="1" x14ac:dyDescent="0.25">
      <c r="A40" s="291" t="s">
        <v>15</v>
      </c>
      <c r="B40" s="544" t="s">
        <v>11</v>
      </c>
      <c r="C40" s="544"/>
      <c r="D40" s="544"/>
      <c r="E40" s="544"/>
      <c r="F40" s="544"/>
      <c r="N40" s="156"/>
      <c r="O40" s="156"/>
      <c r="P40" s="156"/>
    </row>
    <row r="41" spans="1:20" ht="35.25" customHeight="1" x14ac:dyDescent="0.25"/>
    <row r="42" spans="1:20" ht="60" customHeight="1" x14ac:dyDescent="0.25">
      <c r="A42" s="535" t="s">
        <v>385</v>
      </c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7"/>
      <c r="Q42" s="133"/>
      <c r="R42" s="133"/>
      <c r="S42" s="133"/>
      <c r="T42" s="187"/>
    </row>
    <row r="43" spans="1:20" ht="26.25" customHeight="1" x14ac:dyDescent="0.25">
      <c r="A43" s="538" t="s">
        <v>389</v>
      </c>
      <c r="B43" s="538"/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8"/>
      <c r="O43" s="538"/>
      <c r="P43" s="538"/>
    </row>
    <row r="44" spans="1:20" ht="26.25" customHeight="1" x14ac:dyDescent="0.25">
      <c r="A44" s="539"/>
      <c r="B44" s="539"/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26.2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1.5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26.25" hidden="1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6.25" hidden="1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  <row r="91" spans="1:16" ht="225.75" customHeight="1" x14ac:dyDescent="0.25">
      <c r="A91" s="539"/>
      <c r="B91" s="539"/>
      <c r="C91" s="539"/>
      <c r="D91" s="539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539"/>
    </row>
  </sheetData>
  <sheetProtection formatCells="0" formatRows="0" insertRows="0" deleteRows="0"/>
  <mergeCells count="52">
    <mergeCell ref="A43:P91"/>
    <mergeCell ref="A35:P35"/>
    <mergeCell ref="A36:F36"/>
    <mergeCell ref="B37:F37"/>
    <mergeCell ref="B38:F38"/>
    <mergeCell ref="B39:F39"/>
    <mergeCell ref="B40:F40"/>
    <mergeCell ref="O19:O20"/>
    <mergeCell ref="Q21:W21"/>
    <mergeCell ref="A31:G31"/>
    <mergeCell ref="A33:P33"/>
    <mergeCell ref="A42:P42"/>
    <mergeCell ref="A34:P34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92D050"/>
  </sheetPr>
  <dimension ref="A5:AJ93"/>
  <sheetViews>
    <sheetView showGridLines="0" topLeftCell="H25" zoomScale="40" zoomScaleNormal="40" zoomScaleSheetLayoutView="80" workbookViewId="0">
      <selection activeCell="J30" sqref="J30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91.57031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392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416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8" t="s">
        <v>50</v>
      </c>
      <c r="H11" s="519"/>
      <c r="I11" s="519"/>
      <c r="J11" s="519"/>
      <c r="K11" s="519"/>
      <c r="L11" s="519"/>
      <c r="M11" s="519"/>
      <c r="N11" s="519"/>
      <c r="O11" s="519"/>
      <c r="P11" s="52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469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Geral'!D16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395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Geral'!E16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50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Geral'!F16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396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Geral'!H16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IFERROR(I21/$I$33*100,0)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93" customHeight="1" x14ac:dyDescent="0.4">
      <c r="A22" s="84">
        <v>1</v>
      </c>
      <c r="B22" s="285">
        <v>12</v>
      </c>
      <c r="C22" s="156" t="s">
        <v>451</v>
      </c>
      <c r="D22" s="74"/>
      <c r="E22" s="74" t="s">
        <v>512</v>
      </c>
      <c r="F22" s="75">
        <v>43831</v>
      </c>
      <c r="G22" s="75">
        <v>44196</v>
      </c>
      <c r="H22" s="237">
        <v>282227.49</v>
      </c>
      <c r="I22" s="302">
        <f>310943.950783333-0.000783333</f>
        <v>310943.95</v>
      </c>
      <c r="J22" s="292">
        <f t="shared" ref="J22:J32" si="0">I22-H22</f>
        <v>28716.460000000021</v>
      </c>
      <c r="K22" s="76">
        <f t="shared" ref="K22:K32" si="1">IFERROR(J22/H22*100,0)</f>
        <v>10.174933703304388</v>
      </c>
      <c r="L22" s="76">
        <f t="shared" ref="L22:L32" si="2">IFERROR(I22/$I$33*100,0)</f>
        <v>63.465208622333222</v>
      </c>
      <c r="M22" s="76" t="s">
        <v>92</v>
      </c>
      <c r="N22" s="237">
        <f>I22*0.5+293.5</f>
        <v>155765.47500000001</v>
      </c>
      <c r="O22" s="107">
        <f t="shared" ref="O22:O32" si="3">IFERROR(N22/I22*100,)</f>
        <v>50.094390001799361</v>
      </c>
      <c r="P22" s="74" t="s">
        <v>416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93" customHeight="1" x14ac:dyDescent="0.4">
      <c r="A23" s="84">
        <v>2</v>
      </c>
      <c r="B23" s="285">
        <v>12</v>
      </c>
      <c r="C23" s="74" t="s">
        <v>442</v>
      </c>
      <c r="D23" s="74"/>
      <c r="E23" s="74" t="s">
        <v>530</v>
      </c>
      <c r="F23" s="75">
        <v>43831</v>
      </c>
      <c r="G23" s="75">
        <v>44196</v>
      </c>
      <c r="H23" s="237">
        <v>29016.19</v>
      </c>
      <c r="I23" s="237">
        <v>32000</v>
      </c>
      <c r="J23" s="292">
        <f t="shared" si="0"/>
        <v>2983.8100000000013</v>
      </c>
      <c r="K23" s="76">
        <f t="shared" si="1"/>
        <v>10.283259104658473</v>
      </c>
      <c r="L23" s="76">
        <f t="shared" si="2"/>
        <v>6.5313593524320481</v>
      </c>
      <c r="M23" s="76" t="s">
        <v>347</v>
      </c>
      <c r="N23" s="237"/>
      <c r="O23" s="107">
        <f t="shared" si="3"/>
        <v>0</v>
      </c>
      <c r="P23" s="74" t="s">
        <v>416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93" customHeight="1" x14ac:dyDescent="0.4">
      <c r="A24" s="84">
        <v>3</v>
      </c>
      <c r="B24" s="285">
        <v>12</v>
      </c>
      <c r="C24" s="74" t="s">
        <v>443</v>
      </c>
      <c r="D24" s="74"/>
      <c r="E24" s="74" t="s">
        <v>530</v>
      </c>
      <c r="F24" s="75">
        <v>43831</v>
      </c>
      <c r="G24" s="75">
        <v>44196</v>
      </c>
      <c r="H24" s="237">
        <v>41999.96</v>
      </c>
      <c r="I24" s="237">
        <v>43000</v>
      </c>
      <c r="J24" s="292">
        <f t="shared" si="0"/>
        <v>1000.0400000000009</v>
      </c>
      <c r="K24" s="76">
        <f t="shared" si="1"/>
        <v>2.3810498867141798</v>
      </c>
      <c r="L24" s="76">
        <f t="shared" si="2"/>
        <v>8.7765141298305647</v>
      </c>
      <c r="M24" s="76" t="s">
        <v>348</v>
      </c>
      <c r="N24" s="237"/>
      <c r="O24" s="107">
        <f t="shared" si="3"/>
        <v>0</v>
      </c>
      <c r="P24" s="74" t="s">
        <v>416</v>
      </c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93" customHeight="1" x14ac:dyDescent="0.4">
      <c r="A25" s="84">
        <v>4</v>
      </c>
      <c r="B25" s="285">
        <v>12</v>
      </c>
      <c r="C25" s="74" t="s">
        <v>446</v>
      </c>
      <c r="D25" s="74"/>
      <c r="E25" s="74" t="s">
        <v>530</v>
      </c>
      <c r="F25" s="75">
        <v>43831</v>
      </c>
      <c r="G25" s="75">
        <v>44196</v>
      </c>
      <c r="H25" s="237">
        <v>52999.96</v>
      </c>
      <c r="I25" s="237">
        <f>58000</f>
        <v>58000</v>
      </c>
      <c r="J25" s="292">
        <f t="shared" si="0"/>
        <v>5000.0400000000009</v>
      </c>
      <c r="K25" s="76">
        <f t="shared" si="1"/>
        <v>9.4340448558829113</v>
      </c>
      <c r="L25" s="76">
        <f t="shared" si="2"/>
        <v>11.838088826283087</v>
      </c>
      <c r="M25" s="76" t="s">
        <v>347</v>
      </c>
      <c r="N25" s="237"/>
      <c r="O25" s="107">
        <f t="shared" si="3"/>
        <v>0</v>
      </c>
      <c r="P25" s="74" t="s">
        <v>416</v>
      </c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93" customHeight="1" x14ac:dyDescent="0.25">
      <c r="A26" s="84">
        <v>5</v>
      </c>
      <c r="B26" s="285">
        <v>12</v>
      </c>
      <c r="C26" s="74" t="s">
        <v>444</v>
      </c>
      <c r="D26" s="74"/>
      <c r="E26" s="74" t="s">
        <v>530</v>
      </c>
      <c r="F26" s="75">
        <v>43831</v>
      </c>
      <c r="G26" s="75">
        <v>44196</v>
      </c>
      <c r="H26" s="237">
        <v>35370.730000000003</v>
      </c>
      <c r="I26" s="237">
        <v>30000</v>
      </c>
      <c r="J26" s="292">
        <f t="shared" si="0"/>
        <v>-5370.7300000000032</v>
      </c>
      <c r="K26" s="76">
        <f t="shared" si="1"/>
        <v>-15.184108442206318</v>
      </c>
      <c r="L26" s="76">
        <f t="shared" si="2"/>
        <v>6.1231493929050451</v>
      </c>
      <c r="M26" s="76" t="s">
        <v>347</v>
      </c>
      <c r="N26" s="237"/>
      <c r="O26" s="107">
        <f t="shared" si="3"/>
        <v>0</v>
      </c>
      <c r="P26" s="74" t="s">
        <v>416</v>
      </c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93" customHeight="1" x14ac:dyDescent="0.25">
      <c r="A27" s="84">
        <v>6</v>
      </c>
      <c r="B27" s="285">
        <v>12</v>
      </c>
      <c r="C27" s="74" t="s">
        <v>445</v>
      </c>
      <c r="D27" s="74"/>
      <c r="E27" s="74" t="s">
        <v>530</v>
      </c>
      <c r="F27" s="75">
        <v>43831</v>
      </c>
      <c r="G27" s="75">
        <v>44196</v>
      </c>
      <c r="H27" s="237">
        <v>4999.57</v>
      </c>
      <c r="I27" s="237">
        <v>5000</v>
      </c>
      <c r="J27" s="292">
        <f>I27-H27</f>
        <v>0.43000000000029104</v>
      </c>
      <c r="K27" s="76">
        <f t="shared" si="1"/>
        <v>8.6007396636168937E-3</v>
      </c>
      <c r="L27" s="76">
        <f t="shared" si="2"/>
        <v>1.0205248988175075</v>
      </c>
      <c r="M27" s="76" t="s">
        <v>59</v>
      </c>
      <c r="N27" s="237"/>
      <c r="O27" s="107">
        <f t="shared" si="3"/>
        <v>0</v>
      </c>
      <c r="P27" s="74" t="s">
        <v>416</v>
      </c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93" customHeight="1" x14ac:dyDescent="0.25">
      <c r="A28" s="84">
        <v>7</v>
      </c>
      <c r="B28" s="285">
        <v>1</v>
      </c>
      <c r="C28" s="74" t="s">
        <v>448</v>
      </c>
      <c r="D28" s="74"/>
      <c r="E28" s="74" t="s">
        <v>531</v>
      </c>
      <c r="F28" s="75">
        <v>43831</v>
      </c>
      <c r="G28" s="75">
        <v>44196</v>
      </c>
      <c r="H28" s="237">
        <v>3000</v>
      </c>
      <c r="I28" s="237">
        <v>3000</v>
      </c>
      <c r="J28" s="292">
        <f t="shared" si="0"/>
        <v>0</v>
      </c>
      <c r="K28" s="76">
        <f t="shared" si="1"/>
        <v>0</v>
      </c>
      <c r="L28" s="76">
        <f t="shared" si="2"/>
        <v>0.61231493929050462</v>
      </c>
      <c r="M28" s="76" t="s">
        <v>6</v>
      </c>
      <c r="N28" s="237"/>
      <c r="O28" s="107">
        <f t="shared" si="3"/>
        <v>0</v>
      </c>
      <c r="P28" s="74" t="s">
        <v>416</v>
      </c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</row>
    <row r="29" spans="1:36" ht="93" customHeight="1" x14ac:dyDescent="0.25">
      <c r="A29" s="84">
        <v>8</v>
      </c>
      <c r="B29" s="285">
        <v>1</v>
      </c>
      <c r="C29" s="74" t="s">
        <v>447</v>
      </c>
      <c r="D29" s="74"/>
      <c r="E29" s="74" t="s">
        <v>531</v>
      </c>
      <c r="F29" s="75">
        <v>43831</v>
      </c>
      <c r="G29" s="75">
        <v>44196</v>
      </c>
      <c r="H29" s="237">
        <v>6903.5</v>
      </c>
      <c r="I29" s="237">
        <v>5000</v>
      </c>
      <c r="J29" s="292">
        <f t="shared" si="0"/>
        <v>-1903.5</v>
      </c>
      <c r="K29" s="76">
        <f t="shared" si="1"/>
        <v>-27.572970232490768</v>
      </c>
      <c r="L29" s="76">
        <f t="shared" si="2"/>
        <v>1.0205248988175075</v>
      </c>
      <c r="M29" s="76" t="s">
        <v>6</v>
      </c>
      <c r="N29" s="237"/>
      <c r="O29" s="107">
        <f t="shared" si="3"/>
        <v>0</v>
      </c>
      <c r="P29" s="74" t="s">
        <v>416</v>
      </c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</row>
    <row r="30" spans="1:36" ht="93" customHeight="1" x14ac:dyDescent="0.25">
      <c r="A30" s="84">
        <v>9</v>
      </c>
      <c r="B30" s="285">
        <v>0</v>
      </c>
      <c r="C30" s="74" t="s">
        <v>452</v>
      </c>
      <c r="D30" s="74"/>
      <c r="E30" s="285" t="s">
        <v>576</v>
      </c>
      <c r="F30" s="75">
        <v>43831</v>
      </c>
      <c r="G30" s="75">
        <v>44196</v>
      </c>
      <c r="H30" s="237">
        <v>2106</v>
      </c>
      <c r="I30" s="237">
        <v>0</v>
      </c>
      <c r="J30" s="292">
        <f t="shared" si="0"/>
        <v>-2106</v>
      </c>
      <c r="K30" s="76">
        <f t="shared" si="1"/>
        <v>-100</v>
      </c>
      <c r="L30" s="76">
        <f t="shared" si="2"/>
        <v>0</v>
      </c>
      <c r="M30" s="76" t="s">
        <v>346</v>
      </c>
      <c r="N30" s="237"/>
      <c r="O30" s="107">
        <f t="shared" si="3"/>
        <v>0</v>
      </c>
      <c r="P30" s="74"/>
      <c r="AA30" s="164"/>
    </row>
    <row r="31" spans="1:36" ht="93" customHeight="1" x14ac:dyDescent="0.25">
      <c r="A31" s="84">
        <v>10</v>
      </c>
      <c r="B31" s="285">
        <v>0</v>
      </c>
      <c r="C31" s="74" t="s">
        <v>449</v>
      </c>
      <c r="D31" s="74"/>
      <c r="E31" s="285" t="s">
        <v>576</v>
      </c>
      <c r="F31" s="75">
        <v>43831</v>
      </c>
      <c r="G31" s="75">
        <v>44196</v>
      </c>
      <c r="H31" s="237">
        <v>1800</v>
      </c>
      <c r="I31" s="237">
        <v>0</v>
      </c>
      <c r="J31" s="292">
        <f t="shared" si="0"/>
        <v>-1800</v>
      </c>
      <c r="K31" s="76">
        <f t="shared" si="1"/>
        <v>-100</v>
      </c>
      <c r="L31" s="76">
        <f t="shared" si="2"/>
        <v>0</v>
      </c>
      <c r="M31" s="76" t="s">
        <v>64</v>
      </c>
      <c r="N31" s="237"/>
      <c r="O31" s="107">
        <f t="shared" si="3"/>
        <v>0</v>
      </c>
      <c r="P31" s="74"/>
    </row>
    <row r="32" spans="1:36" ht="93" customHeight="1" x14ac:dyDescent="0.25">
      <c r="A32" s="84">
        <v>11</v>
      </c>
      <c r="B32" s="285">
        <v>12</v>
      </c>
      <c r="C32" s="74" t="s">
        <v>450</v>
      </c>
      <c r="D32" s="74"/>
      <c r="E32" s="74" t="s">
        <v>530</v>
      </c>
      <c r="F32" s="75">
        <v>43831</v>
      </c>
      <c r="G32" s="75">
        <v>44196</v>
      </c>
      <c r="H32" s="237">
        <v>3799.64</v>
      </c>
      <c r="I32" s="237">
        <v>3000</v>
      </c>
      <c r="J32" s="292">
        <f t="shared" si="0"/>
        <v>-799.63999999999987</v>
      </c>
      <c r="K32" s="76">
        <f t="shared" si="1"/>
        <v>-21.045151645945403</v>
      </c>
      <c r="L32" s="76">
        <f t="shared" si="2"/>
        <v>0.61231493929050462</v>
      </c>
      <c r="M32" s="76" t="s">
        <v>347</v>
      </c>
      <c r="N32" s="237"/>
      <c r="O32" s="107">
        <f t="shared" si="3"/>
        <v>0</v>
      </c>
      <c r="P32" s="74" t="s">
        <v>416</v>
      </c>
    </row>
    <row r="33" spans="1:20" s="2" customFormat="1" ht="24.75" customHeight="1" x14ac:dyDescent="0.25">
      <c r="A33" s="531" t="s">
        <v>0</v>
      </c>
      <c r="B33" s="532"/>
      <c r="C33" s="532"/>
      <c r="D33" s="532"/>
      <c r="E33" s="532"/>
      <c r="F33" s="532"/>
      <c r="G33" s="533"/>
      <c r="H33" s="293">
        <f>SUM(H21:H32)</f>
        <v>464223.04000000004</v>
      </c>
      <c r="I33" s="293">
        <f>SUM(I21:I32)</f>
        <v>489943.95</v>
      </c>
      <c r="J33" s="293">
        <f>I33-H33</f>
        <v>25720.909999999974</v>
      </c>
      <c r="K33" s="106">
        <f>IFERROR(J33/H33*100,0)</f>
        <v>5.540636242440697</v>
      </c>
      <c r="L33" s="106">
        <f>IFERROR(I33/$I$33*100,0)</f>
        <v>100</v>
      </c>
      <c r="M33" s="106"/>
      <c r="N33" s="293">
        <f>SUM(N21:N32)</f>
        <v>155765.47500000001</v>
      </c>
      <c r="O33" s="106">
        <f>IFERROR(N33/I33*100,)</f>
        <v>31.792509122727203</v>
      </c>
      <c r="P33" s="106"/>
    </row>
    <row r="34" spans="1:20" ht="26.25" customHeight="1" x14ac:dyDescent="0.25">
      <c r="A34" s="3"/>
      <c r="B34" s="3"/>
      <c r="C34" s="3"/>
      <c r="D34" s="3"/>
      <c r="E34" s="3"/>
      <c r="F34" s="3"/>
      <c r="G34" s="3"/>
      <c r="H34" s="201">
        <f>'Quadro Geral'!I16</f>
        <v>464223.04000000004</v>
      </c>
      <c r="I34" s="3"/>
      <c r="J34" s="3"/>
      <c r="K34" s="3"/>
      <c r="L34" s="3"/>
      <c r="M34" s="3"/>
      <c r="N34" s="199"/>
      <c r="O34" s="3"/>
      <c r="P34" s="3"/>
    </row>
    <row r="35" spans="1:20" x14ac:dyDescent="0.25">
      <c r="A35" s="534" t="s">
        <v>77</v>
      </c>
      <c r="B35" s="534"/>
      <c r="C35" s="534"/>
      <c r="D35" s="534"/>
      <c r="E35" s="534"/>
      <c r="F35" s="534"/>
      <c r="G35" s="534"/>
      <c r="H35" s="534"/>
      <c r="I35" s="534"/>
      <c r="J35" s="534"/>
      <c r="K35" s="534"/>
      <c r="L35" s="534"/>
      <c r="M35" s="534"/>
      <c r="N35" s="534"/>
      <c r="O35" s="534"/>
      <c r="P35" s="534"/>
    </row>
    <row r="36" spans="1:20" ht="36" customHeight="1" x14ac:dyDescent="0.25">
      <c r="A36" s="535" t="s">
        <v>379</v>
      </c>
      <c r="B36" s="536"/>
      <c r="C36" s="536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7"/>
    </row>
    <row r="37" spans="1:20" ht="95.25" customHeight="1" x14ac:dyDescent="0.25">
      <c r="A37" s="540"/>
      <c r="B37" s="541"/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2"/>
    </row>
    <row r="38" spans="1:20" ht="15" hidden="1" customHeight="1" x14ac:dyDescent="0.25">
      <c r="A38" s="543" t="s">
        <v>8</v>
      </c>
      <c r="B38" s="543"/>
      <c r="C38" s="543"/>
      <c r="D38" s="543"/>
      <c r="E38" s="543"/>
      <c r="F38" s="543"/>
      <c r="G38" s="290"/>
      <c r="H38" s="290"/>
      <c r="I38" s="290"/>
      <c r="J38" s="290"/>
      <c r="K38" s="290"/>
      <c r="L38" s="290"/>
      <c r="M38" s="290"/>
      <c r="N38" s="290"/>
      <c r="O38" s="290"/>
      <c r="P38" s="290"/>
    </row>
    <row r="39" spans="1:20" ht="15" hidden="1" customHeight="1" x14ac:dyDescent="0.25">
      <c r="A39" s="291" t="s">
        <v>12</v>
      </c>
      <c r="B39" s="544" t="s">
        <v>16</v>
      </c>
      <c r="C39" s="544"/>
      <c r="D39" s="544"/>
      <c r="E39" s="544"/>
      <c r="F39" s="544"/>
      <c r="N39" s="156"/>
      <c r="O39" s="156"/>
      <c r="P39" s="156"/>
    </row>
    <row r="40" spans="1:20" ht="15" hidden="1" customHeight="1" x14ac:dyDescent="0.25">
      <c r="A40" s="291" t="s">
        <v>13</v>
      </c>
      <c r="B40" s="544" t="s">
        <v>9</v>
      </c>
      <c r="C40" s="544"/>
      <c r="D40" s="544"/>
      <c r="E40" s="544"/>
      <c r="F40" s="544"/>
      <c r="N40" s="156"/>
      <c r="O40" s="156"/>
      <c r="P40" s="156"/>
    </row>
    <row r="41" spans="1:20" ht="15" hidden="1" customHeight="1" x14ac:dyDescent="0.25">
      <c r="A41" s="291" t="s">
        <v>14</v>
      </c>
      <c r="B41" s="544" t="s">
        <v>10</v>
      </c>
      <c r="C41" s="544"/>
      <c r="D41" s="544"/>
      <c r="E41" s="544"/>
      <c r="F41" s="544"/>
      <c r="N41" s="156"/>
      <c r="O41" s="156"/>
      <c r="P41" s="156"/>
    </row>
    <row r="42" spans="1:20" ht="15" hidden="1" customHeight="1" x14ac:dyDescent="0.25">
      <c r="A42" s="291" t="s">
        <v>15</v>
      </c>
      <c r="B42" s="544" t="s">
        <v>11</v>
      </c>
      <c r="C42" s="544"/>
      <c r="D42" s="544"/>
      <c r="E42" s="544"/>
      <c r="F42" s="544"/>
      <c r="N42" s="156"/>
      <c r="O42" s="156"/>
      <c r="P42" s="156"/>
    </row>
    <row r="43" spans="1:20" ht="35.25" customHeight="1" x14ac:dyDescent="0.25"/>
    <row r="44" spans="1:20" ht="60" customHeight="1" x14ac:dyDescent="0.25">
      <c r="A44" s="535" t="s">
        <v>385</v>
      </c>
      <c r="B44" s="536"/>
      <c r="C44" s="536"/>
      <c r="D44" s="536"/>
      <c r="E44" s="536"/>
      <c r="F44" s="536"/>
      <c r="G44" s="536"/>
      <c r="H44" s="536"/>
      <c r="I44" s="536"/>
      <c r="J44" s="536"/>
      <c r="K44" s="536"/>
      <c r="L44" s="536"/>
      <c r="M44" s="536"/>
      <c r="N44" s="536"/>
      <c r="O44" s="536"/>
      <c r="P44" s="537"/>
      <c r="Q44" s="133"/>
      <c r="R44" s="133"/>
      <c r="S44" s="133"/>
      <c r="T44" s="187"/>
    </row>
    <row r="45" spans="1:20" ht="26.25" customHeight="1" x14ac:dyDescent="0.25">
      <c r="A45" s="538" t="s">
        <v>389</v>
      </c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26.2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26.25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26.25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1.5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6.25" hidden="1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  <row r="91" spans="1:16" ht="26.25" hidden="1" customHeight="1" x14ac:dyDescent="0.25">
      <c r="A91" s="539"/>
      <c r="B91" s="539"/>
      <c r="C91" s="539"/>
      <c r="D91" s="539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539"/>
    </row>
    <row r="92" spans="1:16" ht="26.25" hidden="1" customHeight="1" x14ac:dyDescent="0.25">
      <c r="A92" s="539"/>
      <c r="B92" s="539"/>
      <c r="C92" s="539"/>
      <c r="D92" s="539"/>
      <c r="E92" s="539"/>
      <c r="F92" s="539"/>
      <c r="G92" s="539"/>
      <c r="H92" s="539"/>
      <c r="I92" s="539"/>
      <c r="J92" s="539"/>
      <c r="K92" s="539"/>
      <c r="L92" s="539"/>
      <c r="M92" s="539"/>
      <c r="N92" s="539"/>
      <c r="O92" s="539"/>
      <c r="P92" s="539"/>
    </row>
    <row r="93" spans="1:16" ht="225.75" customHeight="1" x14ac:dyDescent="0.25">
      <c r="A93" s="539"/>
      <c r="B93" s="539"/>
      <c r="C93" s="539"/>
      <c r="D93" s="539"/>
      <c r="E93" s="539"/>
      <c r="F93" s="539"/>
      <c r="G93" s="539"/>
      <c r="H93" s="539"/>
      <c r="I93" s="539"/>
      <c r="J93" s="539"/>
      <c r="K93" s="539"/>
      <c r="L93" s="539"/>
      <c r="M93" s="539"/>
      <c r="N93" s="539"/>
      <c r="O93" s="539"/>
      <c r="P93" s="539"/>
    </row>
  </sheetData>
  <sheetProtection formatCells="0" formatRows="0" insertRows="0" deleteRows="0"/>
  <mergeCells count="52">
    <mergeCell ref="A44:P44"/>
    <mergeCell ref="A45:P93"/>
    <mergeCell ref="A10:F10"/>
    <mergeCell ref="G10:P10"/>
    <mergeCell ref="A12:F12"/>
    <mergeCell ref="G12:P12"/>
    <mergeCell ref="A13:F13"/>
    <mergeCell ref="G13:P13"/>
    <mergeCell ref="A11:F11"/>
    <mergeCell ref="G11:P11"/>
    <mergeCell ref="A14:F14"/>
    <mergeCell ref="G14:P14"/>
    <mergeCell ref="A16:F16"/>
    <mergeCell ref="G16:P16"/>
    <mergeCell ref="A17:P17"/>
    <mergeCell ref="A15:F15"/>
    <mergeCell ref="A6:P6"/>
    <mergeCell ref="A7:P7"/>
    <mergeCell ref="A8:F8"/>
    <mergeCell ref="G8:P8"/>
    <mergeCell ref="A9:F9"/>
    <mergeCell ref="G9:P9"/>
    <mergeCell ref="G15:P15"/>
    <mergeCell ref="A18:A20"/>
    <mergeCell ref="J18:K18"/>
    <mergeCell ref="L18:L20"/>
    <mergeCell ref="N18:O18"/>
    <mergeCell ref="P18:P20"/>
    <mergeCell ref="E19:E20"/>
    <mergeCell ref="F19:F20"/>
    <mergeCell ref="G19:G20"/>
    <mergeCell ref="B18:E18"/>
    <mergeCell ref="F18:G18"/>
    <mergeCell ref="H18:I18"/>
    <mergeCell ref="B19:D19"/>
    <mergeCell ref="M18:M20"/>
    <mergeCell ref="Q21:W21"/>
    <mergeCell ref="B40:F40"/>
    <mergeCell ref="B41:F41"/>
    <mergeCell ref="B42:F42"/>
    <mergeCell ref="I19:I20"/>
    <mergeCell ref="A33:G33"/>
    <mergeCell ref="A35:P35"/>
    <mergeCell ref="A36:P36"/>
    <mergeCell ref="A37:P37"/>
    <mergeCell ref="A38:F38"/>
    <mergeCell ref="B39:F39"/>
    <mergeCell ref="H19:H20"/>
    <mergeCell ref="J19:J20"/>
    <mergeCell ref="K19:K20"/>
    <mergeCell ref="N19:N20"/>
    <mergeCell ref="O19:O20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Resumo!$Q$1:$Q$16</xm:f>
          </x14:formula1>
          <xm:sqref>G14:P14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D22:D32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Resumo!$F$1:$F$12</xm:f>
          </x14:formula1>
          <xm:sqref>M21:M32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0"/>
  <sheetViews>
    <sheetView showGridLines="0" topLeftCell="D19" zoomScale="40" zoomScaleNormal="40" zoomScaleSheetLayoutView="80" workbookViewId="0">
      <selection activeCell="I21" sqref="I21:I24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91.57031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18" width="27.5703125" style="1" customWidth="1"/>
    <col min="19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392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416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417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Geral'!D17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418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Geral'!E17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301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Geral'!F17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548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Geral'!H17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89.25" customHeight="1" x14ac:dyDescent="0.4">
      <c r="A21" s="84">
        <v>1</v>
      </c>
      <c r="B21" s="285">
        <v>12</v>
      </c>
      <c r="C21" s="156" t="s">
        <v>454</v>
      </c>
      <c r="D21" s="74"/>
      <c r="E21" s="74" t="s">
        <v>514</v>
      </c>
      <c r="F21" s="75">
        <v>43831</v>
      </c>
      <c r="G21" s="75">
        <v>44196</v>
      </c>
      <c r="H21" s="237">
        <v>92082.19</v>
      </c>
      <c r="I21" s="302">
        <f>96160.5030944445-0.0030944445</f>
        <v>96160.5</v>
      </c>
      <c r="J21" s="292">
        <f t="shared" ref="J21:J29" si="0">I21-H21</f>
        <v>4078.3099999999977</v>
      </c>
      <c r="K21" s="76">
        <f t="shared" ref="K21:K29" si="1">IFERROR(J21/H21*100,0)</f>
        <v>4.4289889282607176</v>
      </c>
      <c r="L21" s="76">
        <f t="shared" ref="L21:L29" si="2">IFERROR(I21/$I$30*100,0)</f>
        <v>73.546159229360185</v>
      </c>
      <c r="M21" s="76" t="s">
        <v>92</v>
      </c>
      <c r="N21" s="237">
        <f>I21*0.5</f>
        <v>48080.25</v>
      </c>
      <c r="O21" s="107">
        <f t="shared" ref="O21:O29" si="3">IFERROR(N21/I21*100,)</f>
        <v>50</v>
      </c>
      <c r="P21" s="74" t="s">
        <v>416</v>
      </c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89.25" customHeight="1" x14ac:dyDescent="0.4">
      <c r="A22" s="84">
        <v>2</v>
      </c>
      <c r="B22" s="285">
        <v>12</v>
      </c>
      <c r="C22" s="74" t="s">
        <v>439</v>
      </c>
      <c r="D22" s="74"/>
      <c r="E22" s="74" t="s">
        <v>527</v>
      </c>
      <c r="F22" s="75">
        <v>43831</v>
      </c>
      <c r="G22" s="75">
        <v>44196</v>
      </c>
      <c r="H22" s="237">
        <v>12446.27</v>
      </c>
      <c r="I22" s="237">
        <v>12588</v>
      </c>
      <c r="J22" s="292">
        <f t="shared" si="0"/>
        <v>141.72999999999956</v>
      </c>
      <c r="K22" s="76">
        <f t="shared" si="1"/>
        <v>1.1387347373952159</v>
      </c>
      <c r="L22" s="76">
        <f t="shared" si="2"/>
        <v>9.6276439117848387</v>
      </c>
      <c r="M22" s="76" t="s">
        <v>347</v>
      </c>
      <c r="N22" s="237"/>
      <c r="O22" s="107">
        <f t="shared" si="3"/>
        <v>0</v>
      </c>
      <c r="P22" s="74" t="s">
        <v>416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89.25" customHeight="1" x14ac:dyDescent="0.4">
      <c r="A23" s="84">
        <v>3</v>
      </c>
      <c r="B23" s="285">
        <v>12</v>
      </c>
      <c r="C23" s="74" t="s">
        <v>455</v>
      </c>
      <c r="D23" s="294" t="s">
        <v>307</v>
      </c>
      <c r="E23" s="74" t="s">
        <v>532</v>
      </c>
      <c r="F23" s="75">
        <v>43831</v>
      </c>
      <c r="G23" s="75">
        <v>44196</v>
      </c>
      <c r="H23" s="237">
        <v>8999.5399999999991</v>
      </c>
      <c r="I23" s="237">
        <v>7000</v>
      </c>
      <c r="J23" s="292">
        <f t="shared" si="0"/>
        <v>-1999.5399999999991</v>
      </c>
      <c r="K23" s="76">
        <f t="shared" si="1"/>
        <v>-22.218246710387412</v>
      </c>
      <c r="L23" s="76">
        <f t="shared" si="2"/>
        <v>5.3537899096356751</v>
      </c>
      <c r="M23" s="76" t="s">
        <v>347</v>
      </c>
      <c r="N23" s="237"/>
      <c r="O23" s="107">
        <f t="shared" si="3"/>
        <v>0</v>
      </c>
      <c r="P23" s="74" t="s">
        <v>416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89.25" customHeight="1" x14ac:dyDescent="0.4">
      <c r="A24" s="84">
        <v>4</v>
      </c>
      <c r="B24" s="285">
        <v>5</v>
      </c>
      <c r="C24" s="74" t="s">
        <v>563</v>
      </c>
      <c r="D24" s="74"/>
      <c r="E24" s="74" t="s">
        <v>533</v>
      </c>
      <c r="F24" s="75">
        <v>43831</v>
      </c>
      <c r="G24" s="75">
        <v>44196</v>
      </c>
      <c r="H24" s="237">
        <v>23619.14</v>
      </c>
      <c r="I24" s="237">
        <v>15000</v>
      </c>
      <c r="J24" s="292">
        <f t="shared" si="0"/>
        <v>-8619.14</v>
      </c>
      <c r="K24" s="76">
        <f t="shared" si="1"/>
        <v>-36.492183881377557</v>
      </c>
      <c r="L24" s="76">
        <f t="shared" si="2"/>
        <v>11.472406949219302</v>
      </c>
      <c r="M24" s="76" t="s">
        <v>347</v>
      </c>
      <c r="N24" s="237"/>
      <c r="O24" s="107">
        <f t="shared" si="3"/>
        <v>0</v>
      </c>
      <c r="P24" s="74" t="s">
        <v>416</v>
      </c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25">
      <c r="A25" s="84"/>
      <c r="B25" s="74"/>
      <c r="C25" s="74"/>
      <c r="D25" s="74"/>
      <c r="E25" s="74"/>
      <c r="F25" s="75"/>
      <c r="G25" s="75"/>
      <c r="H25" s="237"/>
      <c r="I25" s="237"/>
      <c r="J25" s="292">
        <f t="shared" si="0"/>
        <v>0</v>
      </c>
      <c r="K25" s="76">
        <f t="shared" si="1"/>
        <v>0</v>
      </c>
      <c r="L25" s="76">
        <f t="shared" si="2"/>
        <v>0</v>
      </c>
      <c r="M25" s="76"/>
      <c r="N25" s="237"/>
      <c r="O25" s="107">
        <f t="shared" si="3"/>
        <v>0</v>
      </c>
      <c r="P25" s="74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7"/>
      <c r="I26" s="237"/>
      <c r="J26" s="292">
        <f t="shared" si="0"/>
        <v>0</v>
      </c>
      <c r="K26" s="76">
        <f t="shared" si="1"/>
        <v>0</v>
      </c>
      <c r="L26" s="76">
        <f t="shared" si="2"/>
        <v>0</v>
      </c>
      <c r="M26" s="76"/>
      <c r="N26" s="237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7"/>
      <c r="I27" s="237"/>
      <c r="J27" s="292">
        <f t="shared" si="0"/>
        <v>0</v>
      </c>
      <c r="K27" s="76">
        <f t="shared" si="1"/>
        <v>0</v>
      </c>
      <c r="L27" s="76">
        <f t="shared" si="2"/>
        <v>0</v>
      </c>
      <c r="M27" s="76"/>
      <c r="N27" s="237"/>
      <c r="O27" s="107">
        <f t="shared" si="3"/>
        <v>0</v>
      </c>
      <c r="P27" s="74"/>
      <c r="AA27" s="164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7"/>
      <c r="I28" s="237"/>
      <c r="J28" s="292">
        <f t="shared" si="0"/>
        <v>0</v>
      </c>
      <c r="K28" s="76">
        <f t="shared" si="1"/>
        <v>0</v>
      </c>
      <c r="L28" s="76">
        <f t="shared" si="2"/>
        <v>0</v>
      </c>
      <c r="M28" s="76"/>
      <c r="N28" s="237"/>
      <c r="O28" s="107">
        <f t="shared" si="3"/>
        <v>0</v>
      </c>
      <c r="P28" s="7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7"/>
      <c r="I29" s="237"/>
      <c r="J29" s="292">
        <f t="shared" si="0"/>
        <v>0</v>
      </c>
      <c r="K29" s="76">
        <f t="shared" si="1"/>
        <v>0</v>
      </c>
      <c r="L29" s="76">
        <f t="shared" si="2"/>
        <v>0</v>
      </c>
      <c r="M29" s="76"/>
      <c r="N29" s="237"/>
      <c r="O29" s="107">
        <f t="shared" si="3"/>
        <v>0</v>
      </c>
      <c r="P29" s="74"/>
    </row>
    <row r="30" spans="1:36" s="2" customFormat="1" ht="24.75" customHeight="1" x14ac:dyDescent="0.25">
      <c r="A30" s="531" t="s">
        <v>0</v>
      </c>
      <c r="B30" s="532"/>
      <c r="C30" s="532"/>
      <c r="D30" s="532"/>
      <c r="E30" s="532"/>
      <c r="F30" s="532"/>
      <c r="G30" s="533"/>
      <c r="H30" s="293">
        <f>SUM(H21:H29)</f>
        <v>137147.14000000001</v>
      </c>
      <c r="I30" s="293">
        <f>SUM(I21:I29)</f>
        <v>130748.5</v>
      </c>
      <c r="J30" s="293">
        <f>I30-H30</f>
        <v>-6398.640000000014</v>
      </c>
      <c r="K30" s="106">
        <f>IFERROR(J30/H30*100,0)</f>
        <v>-4.6655292994079307</v>
      </c>
      <c r="L30" s="106">
        <f>IFERROR(I30/$I$30*100,0)</f>
        <v>100</v>
      </c>
      <c r="M30" s="106"/>
      <c r="N30" s="293">
        <f>SUM(N21:N29)</f>
        <v>48080.25</v>
      </c>
      <c r="O30" s="106">
        <f>IFERROR(N30/I30*100,)</f>
        <v>36.773079614680093</v>
      </c>
      <c r="P30" s="106"/>
    </row>
    <row r="31" spans="1:36" ht="32.25" customHeight="1" x14ac:dyDescent="0.25">
      <c r="A31" s="3"/>
      <c r="B31" s="3"/>
      <c r="C31" s="3"/>
      <c r="D31" s="3"/>
      <c r="E31" s="3"/>
      <c r="F31" s="3"/>
      <c r="G31" s="3"/>
      <c r="H31" s="223">
        <f>'Quadro Geral'!I17</f>
        <v>137147.14000000001</v>
      </c>
      <c r="I31" s="3"/>
      <c r="J31" s="3"/>
      <c r="K31" s="3"/>
      <c r="L31" s="3"/>
      <c r="M31" s="3"/>
      <c r="N31" s="3"/>
      <c r="O31" s="3"/>
      <c r="P31" s="3"/>
    </row>
    <row r="32" spans="1:36" x14ac:dyDescent="0.25">
      <c r="A32" s="534" t="s">
        <v>77</v>
      </c>
      <c r="B32" s="534"/>
      <c r="C32" s="534"/>
      <c r="D32" s="534"/>
      <c r="E32" s="534"/>
      <c r="F32" s="534"/>
      <c r="G32" s="534"/>
      <c r="H32" s="534"/>
      <c r="I32" s="534"/>
      <c r="J32" s="534"/>
      <c r="K32" s="534"/>
      <c r="L32" s="534"/>
      <c r="M32" s="534"/>
      <c r="N32" s="534"/>
      <c r="O32" s="534"/>
      <c r="P32" s="534"/>
    </row>
    <row r="33" spans="1:20" ht="36" customHeight="1" x14ac:dyDescent="0.25">
      <c r="A33" s="535" t="s">
        <v>379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7"/>
    </row>
    <row r="34" spans="1:20" ht="95.25" customHeight="1" x14ac:dyDescent="0.25">
      <c r="A34" s="540"/>
      <c r="B34" s="541"/>
      <c r="C34" s="541"/>
      <c r="D34" s="541"/>
      <c r="E34" s="541"/>
      <c r="F34" s="541"/>
      <c r="G34" s="541"/>
      <c r="H34" s="541"/>
      <c r="I34" s="541"/>
      <c r="J34" s="541"/>
      <c r="K34" s="541"/>
      <c r="L34" s="541"/>
      <c r="M34" s="541"/>
      <c r="N34" s="541"/>
      <c r="O34" s="541"/>
      <c r="P34" s="542"/>
    </row>
    <row r="35" spans="1:20" ht="15" hidden="1" customHeight="1" x14ac:dyDescent="0.25">
      <c r="A35" s="543" t="s">
        <v>8</v>
      </c>
      <c r="B35" s="543"/>
      <c r="C35" s="543"/>
      <c r="D35" s="543"/>
      <c r="E35" s="543"/>
      <c r="F35" s="543"/>
      <c r="G35" s="290"/>
      <c r="H35" s="290"/>
      <c r="I35" s="290"/>
      <c r="J35" s="290"/>
      <c r="K35" s="290"/>
      <c r="L35" s="290"/>
      <c r="M35" s="290"/>
      <c r="N35" s="290"/>
      <c r="O35" s="290"/>
      <c r="P35" s="290"/>
    </row>
    <row r="36" spans="1:20" ht="15" hidden="1" customHeight="1" x14ac:dyDescent="0.25">
      <c r="A36" s="291" t="s">
        <v>12</v>
      </c>
      <c r="B36" s="544" t="s">
        <v>16</v>
      </c>
      <c r="C36" s="544"/>
      <c r="D36" s="544"/>
      <c r="E36" s="544"/>
      <c r="F36" s="544"/>
      <c r="N36" s="156"/>
      <c r="O36" s="156"/>
      <c r="P36" s="156"/>
    </row>
    <row r="37" spans="1:20" ht="15" hidden="1" customHeight="1" x14ac:dyDescent="0.25">
      <c r="A37" s="291" t="s">
        <v>13</v>
      </c>
      <c r="B37" s="544" t="s">
        <v>9</v>
      </c>
      <c r="C37" s="544"/>
      <c r="D37" s="544"/>
      <c r="E37" s="544"/>
      <c r="F37" s="544"/>
      <c r="N37" s="156"/>
      <c r="O37" s="156"/>
      <c r="P37" s="156"/>
    </row>
    <row r="38" spans="1:20" ht="15" hidden="1" customHeight="1" x14ac:dyDescent="0.25">
      <c r="A38" s="291" t="s">
        <v>14</v>
      </c>
      <c r="B38" s="544" t="s">
        <v>10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15</v>
      </c>
      <c r="B39" s="544" t="s">
        <v>11</v>
      </c>
      <c r="C39" s="544"/>
      <c r="D39" s="544"/>
      <c r="E39" s="544"/>
      <c r="F39" s="544"/>
      <c r="N39" s="156"/>
      <c r="O39" s="156"/>
      <c r="P39" s="156"/>
    </row>
    <row r="40" spans="1:20" ht="35.25" customHeight="1" x14ac:dyDescent="0.25"/>
    <row r="41" spans="1:20" ht="60" customHeight="1" x14ac:dyDescent="0.25">
      <c r="A41" s="535" t="s">
        <v>385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7"/>
      <c r="Q41" s="133"/>
      <c r="R41" s="133"/>
      <c r="S41" s="133"/>
      <c r="T41" s="187"/>
    </row>
    <row r="42" spans="1:20" ht="26.25" customHeight="1" x14ac:dyDescent="0.25">
      <c r="A42" s="538" t="s">
        <v>389</v>
      </c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</row>
    <row r="43" spans="1:20" ht="26.25" customHeight="1" x14ac:dyDescent="0.25">
      <c r="A43" s="539"/>
      <c r="B43" s="539"/>
      <c r="C43" s="539"/>
      <c r="D43" s="539"/>
      <c r="E43" s="539"/>
      <c r="F43" s="539"/>
      <c r="G43" s="539"/>
      <c r="H43" s="539"/>
      <c r="I43" s="539"/>
      <c r="J43" s="539"/>
      <c r="K43" s="539"/>
      <c r="L43" s="539"/>
      <c r="M43" s="539"/>
      <c r="N43" s="539"/>
      <c r="O43" s="539"/>
      <c r="P43" s="539"/>
    </row>
    <row r="44" spans="1:20" ht="26.25" customHeight="1" x14ac:dyDescent="0.25">
      <c r="A44" s="539"/>
      <c r="B44" s="539"/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1.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26.25" hidden="1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26.25" hidden="1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25.75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</sheetData>
  <sheetProtection formatCells="0" formatRows="0" insertRows="0" deleteRows="0"/>
  <mergeCells count="51">
    <mergeCell ref="A42:P90"/>
    <mergeCell ref="A34:P34"/>
    <mergeCell ref="A35:F35"/>
    <mergeCell ref="B36:F36"/>
    <mergeCell ref="B37:F37"/>
    <mergeCell ref="B38:F38"/>
    <mergeCell ref="B39:F39"/>
    <mergeCell ref="O19:O20"/>
    <mergeCell ref="A30:G30"/>
    <mergeCell ref="A32:P32"/>
    <mergeCell ref="A41:P41"/>
    <mergeCell ref="A33:P33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'AÇÕES ESTRATÉGICAS - DESCRIÇÃO '!$C$2:$C$21</xm:f>
          </x14:formula1>
          <xm:sqref>D21:D29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  <x14:dataValidation type="list" allowBlank="1" showInputMessage="1" showErrorMessage="1">
          <x14:formula1>
            <xm:f>Resumo!$F$1:$F$12</xm:f>
          </x14:formula1>
          <xm:sqref>M21:M29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1"/>
  <sheetViews>
    <sheetView showGridLines="0" topLeftCell="D16" zoomScale="40" zoomScaleNormal="40" zoomScaleSheetLayoutView="80" workbookViewId="0">
      <selection activeCell="I22" sqref="I22:I23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91.57031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392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416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419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Geral'!D18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420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Geral'!E18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46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Geral'!F18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549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Geral'!H18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78.75" x14ac:dyDescent="0.4">
      <c r="A22" s="84">
        <v>1</v>
      </c>
      <c r="B22" s="285">
        <v>12</v>
      </c>
      <c r="C22" s="156" t="s">
        <v>458</v>
      </c>
      <c r="D22" s="294" t="s">
        <v>309</v>
      </c>
      <c r="E22" s="74" t="s">
        <v>534</v>
      </c>
      <c r="F22" s="75">
        <v>43831</v>
      </c>
      <c r="G22" s="75">
        <v>44196</v>
      </c>
      <c r="H22" s="231">
        <v>35520</v>
      </c>
      <c r="I22" s="231">
        <v>35520</v>
      </c>
      <c r="J22" s="292">
        <f t="shared" ref="J22:J30" si="0">I22-H22</f>
        <v>0</v>
      </c>
      <c r="K22" s="76">
        <f t="shared" ref="K22:K30" si="1">IFERROR(J22/H22*100,0)</f>
        <v>0</v>
      </c>
      <c r="L22" s="76">
        <f t="shared" ref="L22:L30" si="2">IFERROR(I22/$I$31*100,0)</f>
        <v>82.965454418050584</v>
      </c>
      <c r="M22" s="76" t="s">
        <v>347</v>
      </c>
      <c r="N22" s="103"/>
      <c r="O22" s="107">
        <f t="shared" ref="O22:O30" si="3">IFERROR(N22/I22*100,)</f>
        <v>0</v>
      </c>
      <c r="P22" s="74" t="s">
        <v>416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78.75" x14ac:dyDescent="0.4">
      <c r="A23" s="84">
        <v>2</v>
      </c>
      <c r="B23" s="285">
        <v>12</v>
      </c>
      <c r="C23" s="74" t="s">
        <v>459</v>
      </c>
      <c r="D23" s="294" t="s">
        <v>309</v>
      </c>
      <c r="E23" s="74" t="s">
        <v>534</v>
      </c>
      <c r="F23" s="75">
        <v>43831</v>
      </c>
      <c r="G23" s="75">
        <v>44196</v>
      </c>
      <c r="H23" s="231">
        <v>7351.4</v>
      </c>
      <c r="I23" s="231">
        <v>7293</v>
      </c>
      <c r="J23" s="292">
        <f t="shared" si="0"/>
        <v>-58.399999999999636</v>
      </c>
      <c r="K23" s="76">
        <f t="shared" si="1"/>
        <v>-0.79440650760398879</v>
      </c>
      <c r="L23" s="76">
        <f t="shared" si="2"/>
        <v>17.034545581949409</v>
      </c>
      <c r="M23" s="76" t="s">
        <v>347</v>
      </c>
      <c r="N23" s="103"/>
      <c r="O23" s="107">
        <f t="shared" si="3"/>
        <v>0</v>
      </c>
      <c r="P23" s="74" t="s">
        <v>416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1"/>
      <c r="I24" s="231"/>
      <c r="J24" s="292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231"/>
      <c r="I25" s="231"/>
      <c r="J25" s="292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1"/>
      <c r="I26" s="231"/>
      <c r="J26" s="292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292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292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292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292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25">
      <c r="A31" s="531" t="s">
        <v>0</v>
      </c>
      <c r="B31" s="532"/>
      <c r="C31" s="532"/>
      <c r="D31" s="532"/>
      <c r="E31" s="532"/>
      <c r="F31" s="532"/>
      <c r="G31" s="533"/>
      <c r="H31" s="288">
        <f>SUM(H21:H30)</f>
        <v>42871.4</v>
      </c>
      <c r="I31" s="288">
        <f>SUM(I21:I30)</f>
        <v>42813</v>
      </c>
      <c r="J31" s="293">
        <f>I31-H31</f>
        <v>-58.400000000001455</v>
      </c>
      <c r="K31" s="106">
        <f>IFERROR(J31/H31*100,0)</f>
        <v>-0.13622135036411562</v>
      </c>
      <c r="L31" s="106">
        <f>IFERROR(I31/$I$31*100,0)</f>
        <v>100</v>
      </c>
      <c r="M31" s="106"/>
      <c r="N31" s="289">
        <f>SUM(N21:N30)</f>
        <v>0</v>
      </c>
      <c r="O31" s="106">
        <f>IFERROR(N31/I31*100,)</f>
        <v>0</v>
      </c>
      <c r="P31" s="106"/>
    </row>
    <row r="32" spans="1:36" ht="36" customHeight="1" x14ac:dyDescent="0.25">
      <c r="A32" s="3"/>
      <c r="B32" s="3"/>
      <c r="C32" s="3"/>
      <c r="D32" s="3"/>
      <c r="E32" s="3"/>
      <c r="F32" s="3"/>
      <c r="G32" s="3"/>
      <c r="H32" s="223">
        <f>'Quadro Geral'!I18</f>
        <v>42871.4</v>
      </c>
      <c r="I32" s="3"/>
      <c r="J32" s="3"/>
      <c r="K32" s="3"/>
      <c r="L32" s="3"/>
      <c r="M32" s="3"/>
      <c r="N32" s="3"/>
      <c r="O32" s="3"/>
      <c r="P32" s="3"/>
    </row>
    <row r="33" spans="1:20" ht="36" customHeight="1" x14ac:dyDescent="0.25">
      <c r="A33" s="534" t="s">
        <v>77</v>
      </c>
      <c r="B33" s="534"/>
      <c r="C33" s="534"/>
      <c r="D33" s="534"/>
      <c r="E33" s="534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4"/>
    </row>
    <row r="34" spans="1:20" ht="36" customHeight="1" x14ac:dyDescent="0.25">
      <c r="A34" s="535" t="s">
        <v>379</v>
      </c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7"/>
    </row>
    <row r="35" spans="1:20" ht="95.25" customHeight="1" x14ac:dyDescent="0.25">
      <c r="A35" s="540"/>
      <c r="B35" s="541"/>
      <c r="C35" s="541"/>
      <c r="D35" s="541"/>
      <c r="E35" s="541"/>
      <c r="F35" s="541"/>
      <c r="G35" s="541"/>
      <c r="H35" s="541"/>
      <c r="I35" s="541"/>
      <c r="J35" s="541"/>
      <c r="K35" s="541"/>
      <c r="L35" s="541"/>
      <c r="M35" s="541"/>
      <c r="N35" s="541"/>
      <c r="O35" s="541"/>
      <c r="P35" s="542"/>
    </row>
    <row r="36" spans="1:20" ht="15" hidden="1" customHeight="1" x14ac:dyDescent="0.25">
      <c r="A36" s="543" t="s">
        <v>8</v>
      </c>
      <c r="B36" s="543"/>
      <c r="C36" s="543"/>
      <c r="D36" s="543"/>
      <c r="E36" s="543"/>
      <c r="F36" s="543"/>
      <c r="G36" s="290"/>
      <c r="H36" s="290"/>
      <c r="I36" s="290"/>
      <c r="J36" s="290"/>
      <c r="K36" s="290"/>
      <c r="L36" s="290"/>
      <c r="M36" s="290"/>
      <c r="N36" s="290"/>
      <c r="O36" s="290"/>
      <c r="P36" s="290"/>
    </row>
    <row r="37" spans="1:20" ht="15" hidden="1" customHeight="1" x14ac:dyDescent="0.25">
      <c r="A37" s="291" t="s">
        <v>12</v>
      </c>
      <c r="B37" s="544" t="s">
        <v>16</v>
      </c>
      <c r="C37" s="544"/>
      <c r="D37" s="544"/>
      <c r="E37" s="544"/>
      <c r="F37" s="544"/>
      <c r="N37" s="156"/>
      <c r="O37" s="156"/>
      <c r="P37" s="156"/>
    </row>
    <row r="38" spans="1:20" ht="15" hidden="1" customHeight="1" x14ac:dyDescent="0.25">
      <c r="A38" s="291" t="s">
        <v>13</v>
      </c>
      <c r="B38" s="544" t="s">
        <v>9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14</v>
      </c>
      <c r="B39" s="544" t="s">
        <v>10</v>
      </c>
      <c r="C39" s="544"/>
      <c r="D39" s="544"/>
      <c r="E39" s="544"/>
      <c r="F39" s="544"/>
      <c r="N39" s="156"/>
      <c r="O39" s="156"/>
      <c r="P39" s="156"/>
    </row>
    <row r="40" spans="1:20" ht="15" hidden="1" customHeight="1" x14ac:dyDescent="0.25">
      <c r="A40" s="291" t="s">
        <v>15</v>
      </c>
      <c r="B40" s="544" t="s">
        <v>11</v>
      </c>
      <c r="C40" s="544"/>
      <c r="D40" s="544"/>
      <c r="E40" s="544"/>
      <c r="F40" s="544"/>
      <c r="N40" s="156"/>
      <c r="O40" s="156"/>
      <c r="P40" s="156"/>
    </row>
    <row r="41" spans="1:20" ht="35.25" customHeight="1" x14ac:dyDescent="0.25"/>
    <row r="42" spans="1:20" ht="60" customHeight="1" x14ac:dyDescent="0.25">
      <c r="A42" s="535" t="s">
        <v>385</v>
      </c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7"/>
      <c r="Q42" s="133"/>
      <c r="R42" s="133"/>
      <c r="S42" s="133"/>
      <c r="T42" s="187"/>
    </row>
    <row r="43" spans="1:20" ht="26.25" customHeight="1" x14ac:dyDescent="0.25">
      <c r="A43" s="538" t="s">
        <v>389</v>
      </c>
      <c r="B43" s="538"/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8"/>
      <c r="O43" s="538"/>
      <c r="P43" s="538"/>
    </row>
    <row r="44" spans="1:20" ht="26.25" customHeight="1" x14ac:dyDescent="0.25">
      <c r="A44" s="539"/>
      <c r="B44" s="539"/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26.2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1.5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26.25" hidden="1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6.25" hidden="1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  <row r="91" spans="1:16" ht="225.75" customHeight="1" x14ac:dyDescent="0.25">
      <c r="A91" s="539"/>
      <c r="B91" s="539"/>
      <c r="C91" s="539"/>
      <c r="D91" s="539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539"/>
    </row>
  </sheetData>
  <sheetProtection formatCells="0" formatRows="0" insertRows="0" deleteRows="0"/>
  <mergeCells count="52">
    <mergeCell ref="A43:P91"/>
    <mergeCell ref="A35:P35"/>
    <mergeCell ref="A36:F36"/>
    <mergeCell ref="B37:F37"/>
    <mergeCell ref="B38:F38"/>
    <mergeCell ref="B39:F39"/>
    <mergeCell ref="B40:F40"/>
    <mergeCell ref="O19:O20"/>
    <mergeCell ref="Q21:W21"/>
    <mergeCell ref="A31:G31"/>
    <mergeCell ref="A33:P33"/>
    <mergeCell ref="A42:P42"/>
    <mergeCell ref="A34:P34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0"/>
  <sheetViews>
    <sheetView showGridLines="0" topLeftCell="D19" zoomScale="40" zoomScaleNormal="40" zoomScaleSheetLayoutView="80" workbookViewId="0">
      <selection activeCell="I21" sqref="I21:I23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91.57031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392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416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421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Geral'!D19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422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Geral'!E19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51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Geral'!F19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550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Geral'!H19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81.75" customHeight="1" x14ac:dyDescent="0.4">
      <c r="A21" s="84">
        <v>1</v>
      </c>
      <c r="B21" s="285">
        <v>6</v>
      </c>
      <c r="C21" s="156" t="s">
        <v>497</v>
      </c>
      <c r="D21" s="74"/>
      <c r="E21" s="74" t="s">
        <v>535</v>
      </c>
      <c r="F21" s="75">
        <v>43831</v>
      </c>
      <c r="G21" s="75">
        <v>44196</v>
      </c>
      <c r="H21" s="237">
        <v>10206</v>
      </c>
      <c r="I21" s="237">
        <v>10106.370000000001</v>
      </c>
      <c r="J21" s="292">
        <f t="shared" ref="J21:J29" si="0">I21-H21</f>
        <v>-99.6299999999992</v>
      </c>
      <c r="K21" s="76">
        <f t="shared" ref="K21:K29" si="1">IFERROR(J21/H21*100,0)</f>
        <v>-0.97619047619046839</v>
      </c>
      <c r="L21" s="76">
        <f t="shared" ref="L21:L29" si="2">IFERROR(I21/$I$30*100,0)</f>
        <v>47.542899239181516</v>
      </c>
      <c r="M21" s="76" t="s">
        <v>64</v>
      </c>
      <c r="N21" s="103"/>
      <c r="O21" s="107">
        <f t="shared" ref="O21:O29" si="3">IFERROR(N21/I21*100,)</f>
        <v>0</v>
      </c>
      <c r="P21" s="74" t="s">
        <v>416</v>
      </c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81.75" customHeight="1" x14ac:dyDescent="0.4">
      <c r="A22" s="84">
        <v>2</v>
      </c>
      <c r="B22" s="285">
        <v>6</v>
      </c>
      <c r="C22" s="74" t="s">
        <v>577</v>
      </c>
      <c r="D22" s="74"/>
      <c r="E22" s="74" t="s">
        <v>535</v>
      </c>
      <c r="F22" s="75">
        <v>43831</v>
      </c>
      <c r="G22" s="75">
        <v>44196</v>
      </c>
      <c r="H22" s="237">
        <v>7200.0000000000009</v>
      </c>
      <c r="I22" s="237">
        <v>8151</v>
      </c>
      <c r="J22" s="292">
        <f t="shared" si="0"/>
        <v>950.99999999999909</v>
      </c>
      <c r="K22" s="76">
        <f t="shared" si="1"/>
        <v>13.20833333333332</v>
      </c>
      <c r="L22" s="76">
        <f t="shared" si="2"/>
        <v>38.344348336600433</v>
      </c>
      <c r="M22" s="76" t="s">
        <v>346</v>
      </c>
      <c r="N22" s="103"/>
      <c r="O22" s="107">
        <f t="shared" si="3"/>
        <v>0</v>
      </c>
      <c r="P22" s="74" t="s">
        <v>416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81.75" customHeight="1" x14ac:dyDescent="0.4">
      <c r="A23" s="84">
        <v>3</v>
      </c>
      <c r="B23" s="285">
        <v>1</v>
      </c>
      <c r="C23" s="74" t="s">
        <v>471</v>
      </c>
      <c r="D23" s="74"/>
      <c r="E23" s="74" t="s">
        <v>535</v>
      </c>
      <c r="F23" s="75">
        <v>43831</v>
      </c>
      <c r="G23" s="75">
        <v>44196</v>
      </c>
      <c r="H23" s="237">
        <v>3018</v>
      </c>
      <c r="I23" s="237">
        <v>3000</v>
      </c>
      <c r="J23" s="292">
        <f t="shared" si="0"/>
        <v>-18</v>
      </c>
      <c r="K23" s="76">
        <f t="shared" si="1"/>
        <v>-0.59642147117296218</v>
      </c>
      <c r="L23" s="76">
        <f t="shared" si="2"/>
        <v>14.112752424218044</v>
      </c>
      <c r="M23" s="76" t="s">
        <v>347</v>
      </c>
      <c r="N23" s="103"/>
      <c r="O23" s="107">
        <f t="shared" si="3"/>
        <v>0</v>
      </c>
      <c r="P23" s="74" t="s">
        <v>416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7"/>
      <c r="I24" s="237"/>
      <c r="J24" s="292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25">
      <c r="A25" s="84"/>
      <c r="B25" s="74"/>
      <c r="C25" s="74"/>
      <c r="D25" s="74"/>
      <c r="E25" s="74"/>
      <c r="F25" s="75"/>
      <c r="G25" s="75"/>
      <c r="H25" s="237"/>
      <c r="I25" s="237"/>
      <c r="J25" s="292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7"/>
      <c r="I26" s="237"/>
      <c r="J26" s="292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7"/>
      <c r="I27" s="237"/>
      <c r="J27" s="292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AA27" s="164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7"/>
      <c r="I28" s="237"/>
      <c r="J28" s="292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7"/>
      <c r="I29" s="237"/>
      <c r="J29" s="292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s="2" customFormat="1" ht="24.75" customHeight="1" x14ac:dyDescent="0.25">
      <c r="A30" s="531" t="s">
        <v>0</v>
      </c>
      <c r="B30" s="532"/>
      <c r="C30" s="532"/>
      <c r="D30" s="532"/>
      <c r="E30" s="532"/>
      <c r="F30" s="532"/>
      <c r="G30" s="533"/>
      <c r="H30" s="293">
        <f>SUM(H21:H29)</f>
        <v>20424</v>
      </c>
      <c r="I30" s="293">
        <f>SUM(I21:I29)</f>
        <v>21257.370000000003</v>
      </c>
      <c r="J30" s="293">
        <f>I30-H30</f>
        <v>833.37000000000262</v>
      </c>
      <c r="K30" s="106">
        <f>IFERROR(J30/H30*100,0)</f>
        <v>4.0803466509988375</v>
      </c>
      <c r="L30" s="106">
        <f>IFERROR(I30/$I$30*100,0)</f>
        <v>100</v>
      </c>
      <c r="M30" s="106"/>
      <c r="N30" s="289">
        <f>SUM(N21:N29)</f>
        <v>0</v>
      </c>
      <c r="O30" s="106">
        <f>IFERROR(N30/I30*100,)</f>
        <v>0</v>
      </c>
      <c r="P30" s="106"/>
    </row>
    <row r="31" spans="1:36" ht="37.5" customHeight="1" x14ac:dyDescent="0.25">
      <c r="A31" s="3"/>
      <c r="B31" s="3"/>
      <c r="C31" s="3"/>
      <c r="D31" s="3"/>
      <c r="E31" s="3"/>
      <c r="F31" s="3"/>
      <c r="G31" s="3"/>
      <c r="H31" s="201">
        <f>'Quadro Geral'!I19</f>
        <v>20424</v>
      </c>
      <c r="I31" s="3"/>
      <c r="J31" s="3"/>
      <c r="K31" s="3"/>
      <c r="L31" s="3"/>
      <c r="M31" s="3"/>
      <c r="N31" s="3"/>
      <c r="O31" s="3"/>
      <c r="P31" s="3"/>
    </row>
    <row r="32" spans="1:36" x14ac:dyDescent="0.25">
      <c r="A32" s="534" t="s">
        <v>77</v>
      </c>
      <c r="B32" s="534"/>
      <c r="C32" s="534"/>
      <c r="D32" s="534"/>
      <c r="E32" s="534"/>
      <c r="F32" s="534"/>
      <c r="G32" s="534"/>
      <c r="H32" s="534"/>
      <c r="I32" s="534"/>
      <c r="J32" s="534"/>
      <c r="K32" s="534"/>
      <c r="L32" s="534"/>
      <c r="M32" s="534"/>
      <c r="N32" s="534"/>
      <c r="O32" s="534"/>
      <c r="P32" s="534"/>
    </row>
    <row r="33" spans="1:20" ht="36" customHeight="1" x14ac:dyDescent="0.25">
      <c r="A33" s="535" t="s">
        <v>379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7"/>
    </row>
    <row r="34" spans="1:20" ht="95.25" customHeight="1" x14ac:dyDescent="0.25">
      <c r="A34" s="540"/>
      <c r="B34" s="541"/>
      <c r="C34" s="541"/>
      <c r="D34" s="541"/>
      <c r="E34" s="541"/>
      <c r="F34" s="541"/>
      <c r="G34" s="541"/>
      <c r="H34" s="541"/>
      <c r="I34" s="541"/>
      <c r="J34" s="541"/>
      <c r="K34" s="541"/>
      <c r="L34" s="541"/>
      <c r="M34" s="541"/>
      <c r="N34" s="541"/>
      <c r="O34" s="541"/>
      <c r="P34" s="542"/>
    </row>
    <row r="35" spans="1:20" ht="15" hidden="1" customHeight="1" x14ac:dyDescent="0.25">
      <c r="A35" s="543" t="s">
        <v>8</v>
      </c>
      <c r="B35" s="543"/>
      <c r="C35" s="543"/>
      <c r="D35" s="543"/>
      <c r="E35" s="543"/>
      <c r="F35" s="543"/>
      <c r="G35" s="290"/>
      <c r="H35" s="290"/>
      <c r="I35" s="290"/>
      <c r="J35" s="290"/>
      <c r="K35" s="290"/>
      <c r="L35" s="290"/>
      <c r="M35" s="290"/>
      <c r="N35" s="290"/>
      <c r="O35" s="290"/>
      <c r="P35" s="290"/>
    </row>
    <row r="36" spans="1:20" ht="15" hidden="1" customHeight="1" x14ac:dyDescent="0.25">
      <c r="A36" s="291" t="s">
        <v>12</v>
      </c>
      <c r="B36" s="544" t="s">
        <v>16</v>
      </c>
      <c r="C36" s="544"/>
      <c r="D36" s="544"/>
      <c r="E36" s="544"/>
      <c r="F36" s="544"/>
      <c r="N36" s="156"/>
      <c r="O36" s="156"/>
      <c r="P36" s="156"/>
    </row>
    <row r="37" spans="1:20" ht="15" hidden="1" customHeight="1" x14ac:dyDescent="0.25">
      <c r="A37" s="291" t="s">
        <v>13</v>
      </c>
      <c r="B37" s="544" t="s">
        <v>9</v>
      </c>
      <c r="C37" s="544"/>
      <c r="D37" s="544"/>
      <c r="E37" s="544"/>
      <c r="F37" s="544"/>
      <c r="N37" s="156"/>
      <c r="O37" s="156"/>
      <c r="P37" s="156"/>
    </row>
    <row r="38" spans="1:20" ht="15" hidden="1" customHeight="1" x14ac:dyDescent="0.25">
      <c r="A38" s="291" t="s">
        <v>14</v>
      </c>
      <c r="B38" s="544" t="s">
        <v>10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15</v>
      </c>
      <c r="B39" s="544" t="s">
        <v>11</v>
      </c>
      <c r="C39" s="544"/>
      <c r="D39" s="544"/>
      <c r="E39" s="544"/>
      <c r="F39" s="544"/>
      <c r="N39" s="156"/>
      <c r="O39" s="156"/>
      <c r="P39" s="156"/>
    </row>
    <row r="40" spans="1:20" ht="35.25" customHeight="1" x14ac:dyDescent="0.25"/>
    <row r="41" spans="1:20" ht="60" customHeight="1" x14ac:dyDescent="0.25">
      <c r="A41" s="535" t="s">
        <v>385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7"/>
      <c r="Q41" s="133"/>
      <c r="R41" s="133"/>
      <c r="S41" s="133"/>
      <c r="T41" s="187"/>
    </row>
    <row r="42" spans="1:20" ht="26.25" customHeight="1" x14ac:dyDescent="0.25">
      <c r="A42" s="538" t="s">
        <v>389</v>
      </c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</row>
    <row r="43" spans="1:20" ht="26.25" customHeight="1" x14ac:dyDescent="0.25">
      <c r="A43" s="539"/>
      <c r="B43" s="539"/>
      <c r="C43" s="539"/>
      <c r="D43" s="539"/>
      <c r="E43" s="539"/>
      <c r="F43" s="539"/>
      <c r="G43" s="539"/>
      <c r="H43" s="539"/>
      <c r="I43" s="539"/>
      <c r="J43" s="539"/>
      <c r="K43" s="539"/>
      <c r="L43" s="539"/>
      <c r="M43" s="539"/>
      <c r="N43" s="539"/>
      <c r="O43" s="539"/>
      <c r="P43" s="539"/>
    </row>
    <row r="44" spans="1:20" ht="26.25" customHeight="1" x14ac:dyDescent="0.25">
      <c r="A44" s="539"/>
      <c r="B44" s="539"/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1.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26.25" hidden="1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26.25" hidden="1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25.75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</sheetData>
  <sheetProtection formatCells="0" formatRows="0" insertRows="0" deleteRows="0"/>
  <mergeCells count="51">
    <mergeCell ref="A42:P90"/>
    <mergeCell ref="A34:P34"/>
    <mergeCell ref="A35:F35"/>
    <mergeCell ref="B36:F36"/>
    <mergeCell ref="B37:F37"/>
    <mergeCell ref="B38:F38"/>
    <mergeCell ref="B39:F39"/>
    <mergeCell ref="O19:O20"/>
    <mergeCell ref="A30:G30"/>
    <mergeCell ref="A32:P32"/>
    <mergeCell ref="A41:P41"/>
    <mergeCell ref="A33:P33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'AÇÕES ESTRATÉGICAS - DESCRIÇÃO '!$C$2:$C$21</xm:f>
          </x14:formula1>
          <xm:sqref>D21:D29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  <x14:dataValidation type="list" allowBlank="1" showInputMessage="1" showErrorMessage="1">
          <x14:formula1>
            <xm:f>Resumo!$F$1:$F$12</xm:f>
          </x14:formula1>
          <xm:sqref>M21:M29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1"/>
  <sheetViews>
    <sheetView showGridLines="0" topLeftCell="D19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8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402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403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393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423</v>
      </c>
      <c r="H12" s="552"/>
      <c r="I12" s="552"/>
      <c r="J12" s="552"/>
      <c r="K12" s="552"/>
      <c r="L12" s="552"/>
      <c r="M12" s="552"/>
      <c r="N12" s="552"/>
      <c r="O12" s="552"/>
      <c r="P12" s="553"/>
      <c r="Q12" s="1" t="b">
        <f>G12='Quadro Geral'!D20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424</v>
      </c>
      <c r="H13" s="547"/>
      <c r="I13" s="547"/>
      <c r="J13" s="547"/>
      <c r="K13" s="547"/>
      <c r="L13" s="547"/>
      <c r="M13" s="547"/>
      <c r="N13" s="547"/>
      <c r="O13" s="547"/>
      <c r="P13" s="547"/>
      <c r="Q13" s="1" t="b">
        <f>G13='Quadro Geral'!E20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48</v>
      </c>
      <c r="H14" s="547"/>
      <c r="I14" s="547"/>
      <c r="J14" s="547"/>
      <c r="K14" s="547"/>
      <c r="L14" s="547"/>
      <c r="M14" s="547"/>
      <c r="N14" s="547"/>
      <c r="O14" s="547"/>
      <c r="P14" s="547"/>
      <c r="Q14" s="1" t="b">
        <f>G14='Quadro Geral'!F20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551</v>
      </c>
      <c r="H16" s="555"/>
      <c r="I16" s="555"/>
      <c r="J16" s="555"/>
      <c r="K16" s="555"/>
      <c r="L16" s="555"/>
      <c r="M16" s="555"/>
      <c r="N16" s="555"/>
      <c r="O16" s="555"/>
      <c r="P16" s="555"/>
      <c r="Q16" s="1" t="b">
        <f>G16='Quadro Geral'!H20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0" t="s">
        <v>375</v>
      </c>
      <c r="C20" s="191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31.25" x14ac:dyDescent="0.4">
      <c r="A22" s="84">
        <v>1</v>
      </c>
      <c r="B22" s="285">
        <v>4</v>
      </c>
      <c r="C22" s="42" t="s">
        <v>460</v>
      </c>
      <c r="D22" s="294" t="s">
        <v>324</v>
      </c>
      <c r="E22" s="74" t="s">
        <v>564</v>
      </c>
      <c r="F22" s="75">
        <v>43831</v>
      </c>
      <c r="G22" s="75">
        <v>44196</v>
      </c>
      <c r="H22" s="231">
        <v>24000</v>
      </c>
      <c r="I22" s="231">
        <v>22602</v>
      </c>
      <c r="J22" s="86">
        <f t="shared" ref="J22:J30" si="0">I22-H22</f>
        <v>-1398</v>
      </c>
      <c r="K22" s="76">
        <f t="shared" ref="K22:K30" si="1">IFERROR(J22/H22*100,0)</f>
        <v>-5.8250000000000002</v>
      </c>
      <c r="L22" s="76">
        <f t="shared" ref="L22:L30" si="2">IFERROR(I22/$I$31*100,0)</f>
        <v>100</v>
      </c>
      <c r="M22" s="76" t="s">
        <v>347</v>
      </c>
      <c r="N22" s="103"/>
      <c r="O22" s="107">
        <f t="shared" ref="O22:O30" si="3">IFERROR(N22/I22*100,)</f>
        <v>0</v>
      </c>
      <c r="P22" s="74" t="s">
        <v>403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231"/>
      <c r="I23" s="231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1"/>
      <c r="I24" s="231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231"/>
      <c r="I25" s="231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1"/>
      <c r="I26" s="231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232">
        <f>SUM(H21:H30)</f>
        <v>24000</v>
      </c>
      <c r="I31" s="232">
        <f>SUM(I21:I30)</f>
        <v>22602</v>
      </c>
      <c r="J31" s="105">
        <f>I31-H31</f>
        <v>-1398</v>
      </c>
      <c r="K31" s="106">
        <f>IFERROR(J31/H31*100,0)</f>
        <v>-5.8250000000000002</v>
      </c>
      <c r="L31" s="106">
        <f>IFERROR(I31/$I$31*100,0)</f>
        <v>100</v>
      </c>
      <c r="M31" s="106"/>
      <c r="N31" s="104">
        <f>SUM(N21:N30)</f>
        <v>0</v>
      </c>
      <c r="O31" s="88">
        <f>IFERROR(N31/I31*100,)</f>
        <v>0</v>
      </c>
      <c r="P31" s="88"/>
    </row>
    <row r="32" spans="1:36" ht="33.75" customHeight="1" x14ac:dyDescent="0.25">
      <c r="A32" s="1"/>
      <c r="B32" s="1"/>
      <c r="C32" s="1"/>
      <c r="D32" s="1"/>
      <c r="E32" s="1"/>
      <c r="F32" s="1"/>
      <c r="G32" s="1"/>
      <c r="H32" s="236">
        <f>'Quadro Geral'!I20</f>
        <v>24000</v>
      </c>
      <c r="I32" s="1"/>
      <c r="J32" s="1"/>
      <c r="K32" s="1"/>
      <c r="L32" s="1"/>
      <c r="M32" s="1"/>
      <c r="N32" s="1"/>
      <c r="O32" s="1"/>
      <c r="P32" s="1"/>
    </row>
    <row r="33" spans="1:20" x14ac:dyDescent="0.4">
      <c r="A33" s="559" t="s">
        <v>77</v>
      </c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1:20" ht="36" customHeight="1" x14ac:dyDescent="0.25">
      <c r="A34" s="535" t="s">
        <v>379</v>
      </c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7"/>
    </row>
    <row r="35" spans="1:20" ht="95.25" customHeight="1" x14ac:dyDescent="0.4">
      <c r="A35" s="562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  <c r="P35" s="564"/>
    </row>
    <row r="36" spans="1:20" ht="15" hidden="1" customHeight="1" x14ac:dyDescent="0.4">
      <c r="A36" s="565" t="s">
        <v>8</v>
      </c>
      <c r="B36" s="565"/>
      <c r="C36" s="565"/>
      <c r="D36" s="565"/>
      <c r="E36" s="565"/>
      <c r="F36" s="565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1:20" ht="15" hidden="1" customHeight="1" x14ac:dyDescent="0.4">
      <c r="A37" s="90" t="s">
        <v>12</v>
      </c>
      <c r="B37" s="566" t="s">
        <v>16</v>
      </c>
      <c r="C37" s="566"/>
      <c r="D37" s="566"/>
      <c r="E37" s="566"/>
      <c r="F37" s="566"/>
      <c r="N37" s="42"/>
      <c r="O37" s="42"/>
      <c r="P37" s="42"/>
    </row>
    <row r="38" spans="1:20" ht="15" hidden="1" customHeight="1" x14ac:dyDescent="0.4">
      <c r="A38" s="90" t="s">
        <v>13</v>
      </c>
      <c r="B38" s="566" t="s">
        <v>9</v>
      </c>
      <c r="C38" s="566"/>
      <c r="D38" s="566"/>
      <c r="E38" s="566"/>
      <c r="F38" s="566"/>
      <c r="N38" s="42"/>
      <c r="O38" s="42"/>
      <c r="P38" s="42"/>
    </row>
    <row r="39" spans="1:20" ht="15" hidden="1" customHeight="1" x14ac:dyDescent="0.4">
      <c r="A39" s="90" t="s">
        <v>14</v>
      </c>
      <c r="B39" s="566" t="s">
        <v>10</v>
      </c>
      <c r="C39" s="566"/>
      <c r="D39" s="566"/>
      <c r="E39" s="566"/>
      <c r="F39" s="566"/>
      <c r="N39" s="42"/>
      <c r="O39" s="42"/>
      <c r="P39" s="42"/>
    </row>
    <row r="40" spans="1:20" ht="15" hidden="1" customHeight="1" x14ac:dyDescent="0.4">
      <c r="A40" s="90" t="s">
        <v>15</v>
      </c>
      <c r="B40" s="566" t="s">
        <v>11</v>
      </c>
      <c r="C40" s="566"/>
      <c r="D40" s="566"/>
      <c r="E40" s="566"/>
      <c r="F40" s="566"/>
      <c r="N40" s="42"/>
      <c r="O40" s="42"/>
      <c r="P40" s="42"/>
    </row>
    <row r="41" spans="1:20" ht="35.25" customHeight="1" x14ac:dyDescent="0.4"/>
    <row r="42" spans="1:20" ht="60" customHeight="1" x14ac:dyDescent="0.25">
      <c r="A42" s="535" t="s">
        <v>385</v>
      </c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7"/>
      <c r="Q42" s="133"/>
      <c r="R42" s="133"/>
      <c r="S42" s="133"/>
      <c r="T42" s="187"/>
    </row>
    <row r="43" spans="1:20" ht="26.25" customHeight="1" x14ac:dyDescent="0.25">
      <c r="A43" s="560" t="s">
        <v>389</v>
      </c>
      <c r="B43" s="560"/>
      <c r="C43" s="560"/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26.2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1.5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6.25" hidden="1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  <row r="91" spans="1:16" ht="225.75" customHeight="1" x14ac:dyDescent="0.25">
      <c r="A91" s="561"/>
      <c r="B91" s="561"/>
      <c r="C91" s="561"/>
      <c r="D91" s="561"/>
      <c r="E91" s="561"/>
      <c r="F91" s="561"/>
      <c r="G91" s="561"/>
      <c r="H91" s="561"/>
      <c r="I91" s="561"/>
      <c r="J91" s="561"/>
      <c r="K91" s="561"/>
      <c r="L91" s="561"/>
      <c r="M91" s="561"/>
      <c r="N91" s="561"/>
      <c r="O91" s="561"/>
      <c r="P91" s="561"/>
    </row>
  </sheetData>
  <sheetProtection formatCells="0" formatRows="0" insertRows="0" deleteRows="0"/>
  <mergeCells count="52">
    <mergeCell ref="A43:P91"/>
    <mergeCell ref="A35:P35"/>
    <mergeCell ref="A36:F36"/>
    <mergeCell ref="B37:F37"/>
    <mergeCell ref="B38:F38"/>
    <mergeCell ref="B39:F39"/>
    <mergeCell ref="B40:F40"/>
    <mergeCell ref="O19:O20"/>
    <mergeCell ref="Q21:W21"/>
    <mergeCell ref="A31:G31"/>
    <mergeCell ref="A33:P33"/>
    <mergeCell ref="A42:P42"/>
    <mergeCell ref="A34:P34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1"/>
  <sheetViews>
    <sheetView showGridLines="0" topLeftCell="D13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1.5703125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392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416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393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426</v>
      </c>
      <c r="H12" s="552"/>
      <c r="I12" s="552"/>
      <c r="J12" s="552"/>
      <c r="K12" s="552"/>
      <c r="L12" s="552"/>
      <c r="M12" s="552"/>
      <c r="N12" s="552"/>
      <c r="O12" s="552"/>
      <c r="P12" s="553"/>
      <c r="Q12" s="1" t="b">
        <f>G12='Quadro Geral'!D21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427</v>
      </c>
      <c r="H13" s="547"/>
      <c r="I13" s="547"/>
      <c r="J13" s="547"/>
      <c r="K13" s="547"/>
      <c r="L13" s="547"/>
      <c r="M13" s="547"/>
      <c r="N13" s="547"/>
      <c r="O13" s="547"/>
      <c r="P13" s="547"/>
      <c r="Q13" s="1" t="b">
        <f>G13='Quadro Geral'!E21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49</v>
      </c>
      <c r="H14" s="547"/>
      <c r="I14" s="547"/>
      <c r="J14" s="547"/>
      <c r="K14" s="547"/>
      <c r="L14" s="547"/>
      <c r="M14" s="547"/>
      <c r="N14" s="547"/>
      <c r="O14" s="547"/>
      <c r="P14" s="547"/>
      <c r="Q14" s="1" t="b">
        <f>G14='Quadro Geral'!F21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552</v>
      </c>
      <c r="H16" s="555"/>
      <c r="I16" s="555"/>
      <c r="J16" s="555"/>
      <c r="K16" s="555"/>
      <c r="L16" s="555"/>
      <c r="M16" s="555"/>
      <c r="N16" s="555"/>
      <c r="O16" s="555"/>
      <c r="P16" s="555"/>
      <c r="Q16" s="1" t="b">
        <f>G16='Quadro Geral'!H21</f>
        <v>0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0" t="s">
        <v>375</v>
      </c>
      <c r="C20" s="191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04.25" customHeight="1" x14ac:dyDescent="0.4">
      <c r="A22" s="84">
        <v>1</v>
      </c>
      <c r="B22" s="285">
        <v>12</v>
      </c>
      <c r="C22" s="156" t="s">
        <v>480</v>
      </c>
      <c r="D22" s="74"/>
      <c r="E22" s="74" t="s">
        <v>536</v>
      </c>
      <c r="F22" s="75">
        <v>43831</v>
      </c>
      <c r="G22" s="75">
        <v>44196</v>
      </c>
      <c r="H22" s="231">
        <v>11850</v>
      </c>
      <c r="I22" s="231">
        <v>14751</v>
      </c>
      <c r="J22" s="86">
        <f t="shared" ref="J22:J30" si="0">I22-H22</f>
        <v>2901</v>
      </c>
      <c r="K22" s="76">
        <f t="shared" ref="K22:K30" si="1">IFERROR(J22/H22*100,0)</f>
        <v>24.481012658227851</v>
      </c>
      <c r="L22" s="76">
        <f t="shared" ref="L22:L30" si="2">IFERROR(I22/$I$31*100,0)</f>
        <v>100</v>
      </c>
      <c r="M22" s="76" t="s">
        <v>349</v>
      </c>
      <c r="N22" s="103">
        <v>0</v>
      </c>
      <c r="O22" s="107">
        <f t="shared" ref="O22:O30" si="3">IFERROR(N22/I22*100,)</f>
        <v>0</v>
      </c>
      <c r="P22" s="74"/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231"/>
      <c r="I23" s="231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1"/>
      <c r="I24" s="231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231"/>
      <c r="I25" s="231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1"/>
      <c r="I26" s="231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232">
        <f>SUM(H21:H30)</f>
        <v>11850</v>
      </c>
      <c r="I31" s="232">
        <f>SUM(I21:I30)</f>
        <v>14751</v>
      </c>
      <c r="J31" s="105">
        <f>I31-H31</f>
        <v>2901</v>
      </c>
      <c r="K31" s="106">
        <f>IFERROR(J31/H31*100,0)</f>
        <v>24.481012658227851</v>
      </c>
      <c r="L31" s="106">
        <f>IFERROR(I31/$I$31*100,0)</f>
        <v>100</v>
      </c>
      <c r="M31" s="106"/>
      <c r="N31" s="104">
        <f>SUM(N21:N30)</f>
        <v>0</v>
      </c>
      <c r="O31" s="88">
        <f>IFERROR(N31/I31*100,)</f>
        <v>0</v>
      </c>
      <c r="P31" s="88"/>
    </row>
    <row r="32" spans="1:36" ht="37.5" customHeight="1" x14ac:dyDescent="0.25">
      <c r="A32" s="1"/>
      <c r="B32" s="1"/>
      <c r="C32" s="1"/>
      <c r="D32" s="1"/>
      <c r="E32" s="1"/>
      <c r="F32" s="1"/>
      <c r="G32" s="1"/>
      <c r="H32" s="1">
        <f>'Quadro Geral'!I21</f>
        <v>11850</v>
      </c>
      <c r="I32" s="1"/>
      <c r="J32" s="1"/>
      <c r="K32" s="1"/>
      <c r="L32" s="1"/>
      <c r="M32" s="1"/>
      <c r="N32" s="1"/>
      <c r="O32" s="1"/>
      <c r="P32" s="1"/>
    </row>
    <row r="33" spans="1:20" x14ac:dyDescent="0.4">
      <c r="A33" s="559" t="s">
        <v>77</v>
      </c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1:20" ht="36" customHeight="1" x14ac:dyDescent="0.25">
      <c r="A34" s="535" t="s">
        <v>379</v>
      </c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7"/>
    </row>
    <row r="35" spans="1:20" ht="95.25" customHeight="1" x14ac:dyDescent="0.4">
      <c r="A35" s="562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  <c r="P35" s="564"/>
    </row>
    <row r="36" spans="1:20" ht="15" hidden="1" customHeight="1" x14ac:dyDescent="0.4">
      <c r="A36" s="565" t="s">
        <v>8</v>
      </c>
      <c r="B36" s="565"/>
      <c r="C36" s="565"/>
      <c r="D36" s="565"/>
      <c r="E36" s="565"/>
      <c r="F36" s="565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1:20" ht="15" hidden="1" customHeight="1" x14ac:dyDescent="0.4">
      <c r="A37" s="90" t="s">
        <v>12</v>
      </c>
      <c r="B37" s="566" t="s">
        <v>16</v>
      </c>
      <c r="C37" s="566"/>
      <c r="D37" s="566"/>
      <c r="E37" s="566"/>
      <c r="F37" s="566"/>
      <c r="N37" s="42"/>
      <c r="O37" s="42"/>
      <c r="P37" s="42"/>
    </row>
    <row r="38" spans="1:20" ht="15" hidden="1" customHeight="1" x14ac:dyDescent="0.4">
      <c r="A38" s="90" t="s">
        <v>13</v>
      </c>
      <c r="B38" s="566" t="s">
        <v>9</v>
      </c>
      <c r="C38" s="566"/>
      <c r="D38" s="566"/>
      <c r="E38" s="566"/>
      <c r="F38" s="566"/>
      <c r="N38" s="42"/>
      <c r="O38" s="42"/>
      <c r="P38" s="42"/>
    </row>
    <row r="39" spans="1:20" ht="15" hidden="1" customHeight="1" x14ac:dyDescent="0.4">
      <c r="A39" s="90" t="s">
        <v>14</v>
      </c>
      <c r="B39" s="566" t="s">
        <v>10</v>
      </c>
      <c r="C39" s="566"/>
      <c r="D39" s="566"/>
      <c r="E39" s="566"/>
      <c r="F39" s="566"/>
      <c r="N39" s="42"/>
      <c r="O39" s="42"/>
      <c r="P39" s="42"/>
    </row>
    <row r="40" spans="1:20" ht="15" hidden="1" customHeight="1" x14ac:dyDescent="0.4">
      <c r="A40" s="90" t="s">
        <v>15</v>
      </c>
      <c r="B40" s="566" t="s">
        <v>11</v>
      </c>
      <c r="C40" s="566"/>
      <c r="D40" s="566"/>
      <c r="E40" s="566"/>
      <c r="F40" s="566"/>
      <c r="N40" s="42"/>
      <c r="O40" s="42"/>
      <c r="P40" s="42"/>
    </row>
    <row r="41" spans="1:20" ht="35.25" customHeight="1" x14ac:dyDescent="0.4"/>
    <row r="42" spans="1:20" ht="60" customHeight="1" x14ac:dyDescent="0.25">
      <c r="A42" s="535" t="s">
        <v>385</v>
      </c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7"/>
      <c r="Q42" s="133"/>
      <c r="R42" s="133"/>
      <c r="S42" s="133"/>
      <c r="T42" s="187"/>
    </row>
    <row r="43" spans="1:20" ht="26.25" customHeight="1" x14ac:dyDescent="0.25">
      <c r="A43" s="560" t="s">
        <v>389</v>
      </c>
      <c r="B43" s="560"/>
      <c r="C43" s="560"/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26.2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1.5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6.25" hidden="1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  <row r="91" spans="1:16" ht="225.75" customHeight="1" x14ac:dyDescent="0.25">
      <c r="A91" s="561"/>
      <c r="B91" s="561"/>
      <c r="C91" s="561"/>
      <c r="D91" s="561"/>
      <c r="E91" s="561"/>
      <c r="F91" s="561"/>
      <c r="G91" s="561"/>
      <c r="H91" s="561"/>
      <c r="I91" s="561"/>
      <c r="J91" s="561"/>
      <c r="K91" s="561"/>
      <c r="L91" s="561"/>
      <c r="M91" s="561"/>
      <c r="N91" s="561"/>
      <c r="O91" s="561"/>
      <c r="P91" s="561"/>
    </row>
  </sheetData>
  <sheetProtection formatCells="0" formatRows="0" insertRows="0" deleteRows="0"/>
  <mergeCells count="52">
    <mergeCell ref="A43:P91"/>
    <mergeCell ref="A35:P35"/>
    <mergeCell ref="A36:F36"/>
    <mergeCell ref="B37:F37"/>
    <mergeCell ref="B38:F38"/>
    <mergeCell ref="B39:F39"/>
    <mergeCell ref="B40:F40"/>
    <mergeCell ref="O19:O20"/>
    <mergeCell ref="Q21:W21"/>
    <mergeCell ref="A31:G31"/>
    <mergeCell ref="A33:P33"/>
    <mergeCell ref="A42:P42"/>
    <mergeCell ref="A34:P34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rgb="FF92D050"/>
  </sheetPr>
  <dimension ref="A3:R32"/>
  <sheetViews>
    <sheetView showGridLines="0" topLeftCell="A16" zoomScale="80" zoomScaleNormal="80" zoomScaleSheetLayoutView="90" workbookViewId="0">
      <selection activeCell="O9" sqref="O9"/>
    </sheetView>
  </sheetViews>
  <sheetFormatPr defaultRowHeight="15" x14ac:dyDescent="0.25"/>
  <sheetData>
    <row r="3" spans="1:16" ht="44.25" customHeight="1" x14ac:dyDescent="0.25"/>
    <row r="4" spans="1:16" s="9" customFormat="1" ht="92.25" customHeight="1" x14ac:dyDescent="0.25">
      <c r="A4" s="329" t="s">
        <v>243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34" t="s">
        <v>350</v>
      </c>
      <c r="M4" s="334"/>
      <c r="N4" s="334"/>
      <c r="O4" s="334"/>
      <c r="P4" s="334"/>
    </row>
    <row r="5" spans="1:16" ht="36" customHeight="1" x14ac:dyDescent="0.25">
      <c r="A5" s="330" t="s">
        <v>390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</row>
    <row r="6" spans="1:16" ht="15.75" customHeight="1" x14ac:dyDescent="0.25">
      <c r="A6" s="332"/>
      <c r="B6" s="333"/>
      <c r="C6" s="333"/>
      <c r="D6" s="333"/>
      <c r="E6" s="333"/>
      <c r="F6" s="333"/>
      <c r="G6" s="333"/>
      <c r="H6" s="333"/>
      <c r="I6" s="333"/>
      <c r="J6" s="333"/>
      <c r="K6" s="333"/>
    </row>
    <row r="7" spans="1:16" ht="15.75" customHeight="1" x14ac:dyDescent="0.25">
      <c r="A7" s="332"/>
      <c r="B7" s="333"/>
      <c r="C7" s="333"/>
      <c r="D7" s="333"/>
      <c r="E7" s="333"/>
      <c r="F7" s="333"/>
      <c r="G7" s="333"/>
      <c r="H7" s="333"/>
      <c r="I7" s="333"/>
      <c r="J7" s="333"/>
      <c r="K7" s="333"/>
      <c r="O7" t="s">
        <v>556</v>
      </c>
    </row>
    <row r="8" spans="1:16" ht="15.75" customHeight="1" x14ac:dyDescent="0.25">
      <c r="A8" s="332"/>
      <c r="B8" s="333"/>
      <c r="C8" s="333"/>
      <c r="D8" s="333"/>
      <c r="E8" s="333"/>
      <c r="F8" s="333"/>
      <c r="G8" s="333"/>
      <c r="H8" s="333"/>
      <c r="I8" s="333"/>
      <c r="J8" s="333"/>
      <c r="K8" s="333"/>
      <c r="O8" t="s">
        <v>557</v>
      </c>
    </row>
    <row r="9" spans="1:16" ht="15.75" customHeight="1" x14ac:dyDescent="0.25">
      <c r="A9" s="332"/>
      <c r="B9" s="333"/>
      <c r="C9" s="333"/>
      <c r="D9" s="333"/>
      <c r="E9" s="333"/>
      <c r="F9" s="333"/>
      <c r="G9" s="333"/>
      <c r="H9" s="333"/>
      <c r="I9" s="333"/>
      <c r="J9" s="333"/>
      <c r="K9" s="333"/>
    </row>
    <row r="10" spans="1:16" ht="15.75" customHeight="1" x14ac:dyDescent="0.25">
      <c r="A10" s="332"/>
      <c r="B10" s="333"/>
      <c r="C10" s="333"/>
      <c r="D10" s="333"/>
      <c r="E10" s="333"/>
      <c r="F10" s="333"/>
      <c r="G10" s="333"/>
      <c r="H10" s="333"/>
      <c r="I10" s="333"/>
      <c r="J10" s="333"/>
      <c r="K10" s="333"/>
    </row>
    <row r="11" spans="1:16" ht="15.75" customHeight="1" x14ac:dyDescent="0.25">
      <c r="A11" s="332"/>
      <c r="B11" s="333"/>
      <c r="C11" s="333"/>
      <c r="D11" s="333"/>
      <c r="E11" s="333"/>
      <c r="F11" s="333"/>
      <c r="G11" s="333"/>
      <c r="H11" s="333"/>
      <c r="I11" s="333"/>
      <c r="J11" s="333"/>
      <c r="K11" s="333"/>
    </row>
    <row r="12" spans="1:16" ht="15.75" customHeight="1" x14ac:dyDescent="0.25">
      <c r="A12" s="332"/>
      <c r="B12" s="333"/>
      <c r="C12" s="333"/>
      <c r="D12" s="333"/>
      <c r="E12" s="333"/>
      <c r="F12" s="333"/>
      <c r="G12" s="333"/>
      <c r="H12" s="333"/>
      <c r="I12" s="333"/>
      <c r="J12" s="333"/>
      <c r="K12" s="333"/>
    </row>
    <row r="13" spans="1:16" ht="15.75" customHeight="1" x14ac:dyDescent="0.25">
      <c r="A13" s="332"/>
      <c r="B13" s="333"/>
      <c r="C13" s="333"/>
      <c r="D13" s="333"/>
      <c r="E13" s="333"/>
      <c r="F13" s="333"/>
      <c r="G13" s="333"/>
      <c r="H13" s="333"/>
      <c r="I13" s="333"/>
      <c r="J13" s="333"/>
      <c r="K13" s="333"/>
    </row>
    <row r="14" spans="1:16" ht="15.75" customHeight="1" x14ac:dyDescent="0.25">
      <c r="A14" s="332"/>
      <c r="B14" s="333"/>
      <c r="C14" s="333"/>
      <c r="D14" s="333"/>
      <c r="E14" s="333"/>
      <c r="F14" s="333"/>
      <c r="G14" s="333"/>
      <c r="H14" s="333"/>
      <c r="I14" s="333"/>
      <c r="J14" s="333"/>
      <c r="K14" s="333"/>
    </row>
    <row r="15" spans="1:16" ht="15.75" customHeight="1" x14ac:dyDescent="0.25">
      <c r="A15" s="332"/>
      <c r="B15" s="333"/>
      <c r="C15" s="333"/>
      <c r="D15" s="333"/>
      <c r="E15" s="333"/>
      <c r="F15" s="333"/>
      <c r="G15" s="333"/>
      <c r="H15" s="333"/>
      <c r="I15" s="333"/>
      <c r="J15" s="333"/>
      <c r="K15" s="333"/>
    </row>
    <row r="16" spans="1:16" ht="15.75" customHeight="1" x14ac:dyDescent="0.25">
      <c r="A16" s="332"/>
      <c r="B16" s="333"/>
      <c r="C16" s="333"/>
      <c r="D16" s="333"/>
      <c r="E16" s="333"/>
      <c r="F16" s="333"/>
      <c r="G16" s="333"/>
      <c r="H16" s="333"/>
      <c r="I16" s="333"/>
      <c r="J16" s="333"/>
      <c r="K16" s="333"/>
    </row>
    <row r="17" spans="1:18" ht="15" customHeight="1" x14ac:dyDescent="0.25">
      <c r="A17" s="332"/>
      <c r="B17" s="333"/>
      <c r="C17" s="333"/>
      <c r="D17" s="333"/>
      <c r="E17" s="333"/>
      <c r="F17" s="333"/>
      <c r="G17" s="333"/>
      <c r="H17" s="333"/>
      <c r="I17" s="333"/>
      <c r="J17" s="333"/>
      <c r="K17" s="333"/>
    </row>
    <row r="18" spans="1:18" ht="15.75" customHeight="1" x14ac:dyDescent="0.25">
      <c r="A18" s="332"/>
      <c r="B18" s="333"/>
      <c r="C18" s="333"/>
      <c r="D18" s="333"/>
      <c r="E18" s="333"/>
      <c r="F18" s="333"/>
      <c r="G18" s="333"/>
      <c r="H18" s="333"/>
      <c r="I18" s="333"/>
      <c r="J18" s="333"/>
      <c r="K18" s="333"/>
    </row>
    <row r="19" spans="1:18" ht="15.75" customHeight="1" x14ac:dyDescent="0.25">
      <c r="A19" s="332"/>
      <c r="B19" s="333"/>
      <c r="C19" s="333"/>
      <c r="D19" s="333"/>
      <c r="E19" s="333"/>
      <c r="F19" s="333"/>
      <c r="G19" s="333"/>
      <c r="H19" s="333"/>
      <c r="I19" s="333"/>
      <c r="J19" s="333"/>
      <c r="K19" s="333"/>
    </row>
    <row r="20" spans="1:18" ht="15.75" customHeight="1" x14ac:dyDescent="0.25">
      <c r="A20" s="332"/>
      <c r="B20" s="333"/>
      <c r="C20" s="333"/>
      <c r="D20" s="333"/>
      <c r="E20" s="333"/>
      <c r="F20" s="333"/>
      <c r="G20" s="333"/>
      <c r="H20" s="333"/>
      <c r="I20" s="333"/>
      <c r="J20" s="333"/>
      <c r="K20" s="333"/>
    </row>
    <row r="21" spans="1:18" ht="15.75" customHeight="1" x14ac:dyDescent="0.25">
      <c r="A21" s="332"/>
      <c r="B21" s="333"/>
      <c r="C21" s="333"/>
      <c r="D21" s="333"/>
      <c r="E21" s="333"/>
      <c r="F21" s="333"/>
      <c r="G21" s="333"/>
      <c r="H21" s="333"/>
      <c r="I21" s="333"/>
      <c r="J21" s="333"/>
      <c r="K21" s="333"/>
    </row>
    <row r="22" spans="1:18" ht="15.75" customHeight="1" x14ac:dyDescent="0.25">
      <c r="A22" s="332"/>
      <c r="B22" s="333"/>
      <c r="C22" s="333"/>
      <c r="D22" s="333"/>
      <c r="E22" s="333"/>
      <c r="F22" s="333"/>
      <c r="G22" s="333"/>
      <c r="H22" s="333"/>
      <c r="I22" s="333"/>
      <c r="J22" s="333"/>
      <c r="K22" s="333"/>
    </row>
    <row r="23" spans="1:18" ht="15.75" customHeight="1" x14ac:dyDescent="0.25">
      <c r="A23" s="332"/>
      <c r="B23" s="333"/>
      <c r="C23" s="333"/>
      <c r="D23" s="333"/>
      <c r="E23" s="333"/>
      <c r="F23" s="333"/>
      <c r="G23" s="333"/>
      <c r="H23" s="333"/>
      <c r="I23" s="333"/>
      <c r="J23" s="333"/>
      <c r="K23" s="333"/>
    </row>
    <row r="24" spans="1:18" ht="15.75" customHeight="1" x14ac:dyDescent="0.25">
      <c r="A24" s="332"/>
      <c r="B24" s="333"/>
      <c r="C24" s="333"/>
      <c r="D24" s="333"/>
      <c r="E24" s="333"/>
      <c r="F24" s="333"/>
      <c r="G24" s="333"/>
      <c r="H24" s="333"/>
      <c r="I24" s="333"/>
      <c r="J24" s="333"/>
      <c r="K24" s="333"/>
    </row>
    <row r="25" spans="1:18" ht="15.75" customHeight="1" x14ac:dyDescent="0.25">
      <c r="A25" s="332"/>
      <c r="B25" s="333"/>
      <c r="C25" s="333"/>
      <c r="D25" s="333"/>
      <c r="E25" s="333"/>
      <c r="F25" s="333"/>
      <c r="G25" s="333"/>
      <c r="H25" s="333"/>
      <c r="I25" s="333"/>
      <c r="J25" s="333"/>
      <c r="K25" s="333"/>
    </row>
    <row r="26" spans="1:18" ht="15.75" customHeight="1" x14ac:dyDescent="0.25">
      <c r="A26" s="332"/>
      <c r="B26" s="333"/>
      <c r="C26" s="333"/>
      <c r="D26" s="333"/>
      <c r="E26" s="333"/>
      <c r="F26" s="333"/>
      <c r="G26" s="333"/>
      <c r="H26" s="333"/>
      <c r="I26" s="333"/>
      <c r="J26" s="333"/>
      <c r="K26" s="333"/>
    </row>
    <row r="27" spans="1:18" ht="15" customHeight="1" x14ac:dyDescent="0.25">
      <c r="A27" s="332"/>
      <c r="B27" s="333"/>
      <c r="C27" s="333"/>
      <c r="D27" s="333"/>
      <c r="E27" s="333"/>
      <c r="F27" s="333"/>
      <c r="G27" s="333"/>
      <c r="H27" s="333"/>
      <c r="I27" s="333"/>
      <c r="J27" s="333"/>
      <c r="K27" s="333"/>
    </row>
    <row r="28" spans="1:18" ht="15.75" customHeight="1" x14ac:dyDescent="0.25">
      <c r="A28" s="332"/>
      <c r="B28" s="333"/>
      <c r="C28" s="333"/>
      <c r="D28" s="333"/>
      <c r="E28" s="333"/>
      <c r="F28" s="333"/>
      <c r="G28" s="333"/>
      <c r="H28" s="333"/>
      <c r="I28" s="333"/>
      <c r="J28" s="333"/>
      <c r="K28" s="333"/>
    </row>
    <row r="29" spans="1:18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44"/>
      <c r="M29" s="44"/>
      <c r="N29" s="44"/>
      <c r="O29" s="44"/>
      <c r="P29" s="44"/>
      <c r="Q29" s="44"/>
      <c r="R29" s="44"/>
    </row>
    <row r="31" spans="1:18" ht="16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8" ht="36" customHeight="1" x14ac:dyDescent="0.25">
      <c r="A32" s="335" t="s">
        <v>351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1"/>
      <c r="M32" s="1"/>
      <c r="N32" s="1"/>
      <c r="O32" s="1"/>
      <c r="P32" s="1"/>
    </row>
  </sheetData>
  <mergeCells count="5">
    <mergeCell ref="A4:K4"/>
    <mergeCell ref="A5:K5"/>
    <mergeCell ref="A6:K28"/>
    <mergeCell ref="L4:P4"/>
    <mergeCell ref="A32:K3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1026" r:id="rId4">
          <objectPr defaultSize="0" autoPict="0" r:id="rId5">
            <anchor moveWithCells="1">
              <from>
                <xdr:col>0</xdr:col>
                <xdr:colOff>47625</xdr:colOff>
                <xdr:row>5</xdr:row>
                <xdr:rowOff>123825</xdr:rowOff>
              </from>
              <to>
                <xdr:col>11</xdr:col>
                <xdr:colOff>19050</xdr:colOff>
                <xdr:row>29</xdr:row>
                <xdr:rowOff>57150</xdr:rowOff>
              </to>
            </anchor>
          </objectPr>
        </oleObject>
      </mc:Choice>
      <mc:Fallback>
        <oleObject progId="PowerPoint.Slide.12" shapeId="1026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1"/>
  <sheetViews>
    <sheetView showGridLines="0" tabSelected="1" topLeftCell="E14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1.5703125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392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416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393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428</v>
      </c>
      <c r="H12" s="552"/>
      <c r="I12" s="552"/>
      <c r="J12" s="552"/>
      <c r="K12" s="552"/>
      <c r="L12" s="552"/>
      <c r="M12" s="552"/>
      <c r="N12" s="552"/>
      <c r="O12" s="552"/>
      <c r="P12" s="553"/>
      <c r="Q12" s="1" t="b">
        <f>G12='Quadro Geral'!D22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429</v>
      </c>
      <c r="H13" s="547"/>
      <c r="I13" s="547"/>
      <c r="J13" s="547"/>
      <c r="K13" s="547"/>
      <c r="L13" s="547"/>
      <c r="M13" s="547"/>
      <c r="N13" s="547"/>
      <c r="O13" s="547"/>
      <c r="P13" s="547"/>
      <c r="Q13" s="1" t="b">
        <f>G13='Quadro Geral'!E22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41</v>
      </c>
      <c r="H14" s="547"/>
      <c r="I14" s="547"/>
      <c r="J14" s="547"/>
      <c r="K14" s="547"/>
      <c r="L14" s="547"/>
      <c r="M14" s="547"/>
      <c r="N14" s="547"/>
      <c r="O14" s="547"/>
      <c r="P14" s="547"/>
      <c r="Q14" s="1" t="b">
        <f>G14='Quadro Geral'!F22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553</v>
      </c>
      <c r="H16" s="555"/>
      <c r="I16" s="555"/>
      <c r="J16" s="555"/>
      <c r="K16" s="555"/>
      <c r="L16" s="555"/>
      <c r="M16" s="555"/>
      <c r="N16" s="555"/>
      <c r="O16" s="555"/>
      <c r="P16" s="555"/>
      <c r="Q16" s="1" t="b">
        <f>G16='Quadro Geral'!H22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0" t="s">
        <v>375</v>
      </c>
      <c r="C20" s="191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36.5" customHeight="1" x14ac:dyDescent="0.4">
      <c r="A22" s="84">
        <v>1</v>
      </c>
      <c r="B22" s="285">
        <v>12</v>
      </c>
      <c r="C22" s="156" t="s">
        <v>482</v>
      </c>
      <c r="D22" s="74"/>
      <c r="E22" s="74" t="s">
        <v>537</v>
      </c>
      <c r="F22" s="75">
        <v>43831</v>
      </c>
      <c r="G22" s="75">
        <v>44196</v>
      </c>
      <c r="H22" s="231">
        <v>34111.949999999997</v>
      </c>
      <c r="I22" s="231">
        <v>33303.14</v>
      </c>
      <c r="J22" s="86">
        <f t="shared" ref="J22:J30" si="0">I22-H22</f>
        <v>-808.80999999999767</v>
      </c>
      <c r="K22" s="76">
        <f t="shared" ref="K22:K30" si="1">IFERROR(J22/H22*100,0)</f>
        <v>-2.3710459237891639</v>
      </c>
      <c r="L22" s="76">
        <f t="shared" ref="L22:L30" si="2">IFERROR(I22/$I$31*100,0)</f>
        <v>100</v>
      </c>
      <c r="M22" s="76" t="s">
        <v>349</v>
      </c>
      <c r="N22" s="103">
        <v>33303.14</v>
      </c>
      <c r="O22" s="107">
        <f t="shared" ref="O22:O30" si="3">IFERROR(N22/I22*100,)</f>
        <v>100</v>
      </c>
      <c r="P22" s="74"/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231"/>
      <c r="I23" s="231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1"/>
      <c r="I24" s="231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231"/>
      <c r="I25" s="231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1"/>
      <c r="I26" s="231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232">
        <f>SUM(H21:H30)</f>
        <v>34111.949999999997</v>
      </c>
      <c r="I31" s="232">
        <f>SUM(I21:I30)</f>
        <v>33303.14</v>
      </c>
      <c r="J31" s="105">
        <f>I31-H31</f>
        <v>-808.80999999999767</v>
      </c>
      <c r="K31" s="106">
        <f>IFERROR(J31/H31*100,0)</f>
        <v>-2.3710459237891639</v>
      </c>
      <c r="L31" s="106">
        <f>IFERROR(I31/$I$31*100,0)</f>
        <v>100</v>
      </c>
      <c r="M31" s="106"/>
      <c r="N31" s="104">
        <f>SUM(N21:N30)</f>
        <v>33303.14</v>
      </c>
      <c r="O31" s="88">
        <f>IFERROR(N31/I31*100,)</f>
        <v>100</v>
      </c>
      <c r="P31" s="88"/>
    </row>
    <row r="32" spans="1:36" ht="28.5" customHeight="1" x14ac:dyDescent="0.4">
      <c r="A32" s="1"/>
      <c r="B32" s="1"/>
      <c r="C32" s="1"/>
      <c r="D32" s="1"/>
      <c r="E32" s="1"/>
      <c r="F32" s="1"/>
      <c r="G32" s="1"/>
      <c r="H32" s="233">
        <f>'Quadro Geral'!I22</f>
        <v>34111.949999999997</v>
      </c>
      <c r="I32" s="1"/>
      <c r="J32" s="1"/>
      <c r="K32" s="1"/>
      <c r="L32" s="1"/>
      <c r="M32" s="1"/>
      <c r="N32" s="1"/>
      <c r="O32" s="1"/>
      <c r="P32" s="1"/>
    </row>
    <row r="33" spans="1:20" x14ac:dyDescent="0.4">
      <c r="A33" s="559" t="s">
        <v>77</v>
      </c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1:20" ht="36" customHeight="1" x14ac:dyDescent="0.25">
      <c r="A34" s="535" t="s">
        <v>379</v>
      </c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7"/>
    </row>
    <row r="35" spans="1:20" ht="95.25" customHeight="1" x14ac:dyDescent="0.4">
      <c r="A35" s="562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  <c r="P35" s="564"/>
    </row>
    <row r="36" spans="1:20" ht="15" hidden="1" customHeight="1" x14ac:dyDescent="0.4">
      <c r="A36" s="565" t="s">
        <v>8</v>
      </c>
      <c r="B36" s="565"/>
      <c r="C36" s="565"/>
      <c r="D36" s="565"/>
      <c r="E36" s="565"/>
      <c r="F36" s="565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1:20" ht="15" hidden="1" customHeight="1" x14ac:dyDescent="0.4">
      <c r="A37" s="90" t="s">
        <v>12</v>
      </c>
      <c r="B37" s="566" t="s">
        <v>16</v>
      </c>
      <c r="C37" s="566"/>
      <c r="D37" s="566"/>
      <c r="E37" s="566"/>
      <c r="F37" s="566"/>
      <c r="N37" s="42"/>
      <c r="O37" s="42"/>
      <c r="P37" s="42"/>
    </row>
    <row r="38" spans="1:20" ht="15" hidden="1" customHeight="1" x14ac:dyDescent="0.4">
      <c r="A38" s="90" t="s">
        <v>13</v>
      </c>
      <c r="B38" s="566" t="s">
        <v>9</v>
      </c>
      <c r="C38" s="566"/>
      <c r="D38" s="566"/>
      <c r="E38" s="566"/>
      <c r="F38" s="566"/>
      <c r="N38" s="42"/>
      <c r="O38" s="42"/>
      <c r="P38" s="42"/>
    </row>
    <row r="39" spans="1:20" ht="15" hidden="1" customHeight="1" x14ac:dyDescent="0.4">
      <c r="A39" s="90" t="s">
        <v>14</v>
      </c>
      <c r="B39" s="566" t="s">
        <v>10</v>
      </c>
      <c r="C39" s="566"/>
      <c r="D39" s="566"/>
      <c r="E39" s="566"/>
      <c r="F39" s="566"/>
      <c r="N39" s="42"/>
      <c r="O39" s="42"/>
      <c r="P39" s="42"/>
    </row>
    <row r="40" spans="1:20" ht="15" hidden="1" customHeight="1" x14ac:dyDescent="0.4">
      <c r="A40" s="90" t="s">
        <v>15</v>
      </c>
      <c r="B40" s="566" t="s">
        <v>11</v>
      </c>
      <c r="C40" s="566"/>
      <c r="D40" s="566"/>
      <c r="E40" s="566"/>
      <c r="F40" s="566"/>
      <c r="N40" s="42"/>
      <c r="O40" s="42"/>
      <c r="P40" s="42"/>
    </row>
    <row r="41" spans="1:20" ht="35.25" customHeight="1" x14ac:dyDescent="0.4"/>
    <row r="42" spans="1:20" ht="60" customHeight="1" x14ac:dyDescent="0.25">
      <c r="A42" s="535" t="s">
        <v>385</v>
      </c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7"/>
      <c r="Q42" s="133"/>
      <c r="R42" s="133"/>
      <c r="S42" s="133"/>
      <c r="T42" s="187"/>
    </row>
    <row r="43" spans="1:20" ht="26.25" customHeight="1" x14ac:dyDescent="0.25">
      <c r="A43" s="560" t="s">
        <v>389</v>
      </c>
      <c r="B43" s="560"/>
      <c r="C43" s="560"/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26.2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1.5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6.25" hidden="1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  <row r="91" spans="1:16" ht="225.75" customHeight="1" x14ac:dyDescent="0.25">
      <c r="A91" s="561"/>
      <c r="B91" s="561"/>
      <c r="C91" s="561"/>
      <c r="D91" s="561"/>
      <c r="E91" s="561"/>
      <c r="F91" s="561"/>
      <c r="G91" s="561"/>
      <c r="H91" s="561"/>
      <c r="I91" s="561"/>
      <c r="J91" s="561"/>
      <c r="K91" s="561"/>
      <c r="L91" s="561"/>
      <c r="M91" s="561"/>
      <c r="N91" s="561"/>
      <c r="O91" s="561"/>
      <c r="P91" s="561"/>
    </row>
  </sheetData>
  <sheetProtection formatCells="0" formatRows="0" insertRows="0" deleteRows="0"/>
  <mergeCells count="52">
    <mergeCell ref="A43:P91"/>
    <mergeCell ref="A35:P35"/>
    <mergeCell ref="A36:F36"/>
    <mergeCell ref="B37:F37"/>
    <mergeCell ref="B38:F38"/>
    <mergeCell ref="B39:F39"/>
    <mergeCell ref="B40:F40"/>
    <mergeCell ref="O19:O20"/>
    <mergeCell ref="Q21:W21"/>
    <mergeCell ref="A31:G31"/>
    <mergeCell ref="A33:P33"/>
    <mergeCell ref="A42:P42"/>
    <mergeCell ref="A34:P34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1"/>
  <sheetViews>
    <sheetView showGridLines="0" topLeftCell="A13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1.5703125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392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416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393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430</v>
      </c>
      <c r="H12" s="552"/>
      <c r="I12" s="552"/>
      <c r="J12" s="552"/>
      <c r="K12" s="552"/>
      <c r="L12" s="552"/>
      <c r="M12" s="552"/>
      <c r="N12" s="552"/>
      <c r="O12" s="552"/>
      <c r="P12" s="553"/>
      <c r="Q12" s="1" t="b">
        <f>G12='Quadro Geral'!D23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431</v>
      </c>
      <c r="H13" s="547"/>
      <c r="I13" s="547"/>
      <c r="J13" s="547"/>
      <c r="K13" s="547"/>
      <c r="L13" s="547"/>
      <c r="M13" s="547"/>
      <c r="N13" s="547"/>
      <c r="O13" s="547"/>
      <c r="P13" s="547"/>
      <c r="Q13" s="1" t="b">
        <f>G13='Quadro Geral'!E23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301</v>
      </c>
      <c r="H14" s="547"/>
      <c r="I14" s="547"/>
      <c r="J14" s="547"/>
      <c r="K14" s="547"/>
      <c r="L14" s="547"/>
      <c r="M14" s="547"/>
      <c r="N14" s="547"/>
      <c r="O14" s="547"/>
      <c r="P14" s="547"/>
      <c r="Q14" s="1" t="b">
        <f>G14='Quadro Geral'!F23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554</v>
      </c>
      <c r="H16" s="555"/>
      <c r="I16" s="555"/>
      <c r="J16" s="555"/>
      <c r="K16" s="555"/>
      <c r="L16" s="555"/>
      <c r="M16" s="555"/>
      <c r="N16" s="555"/>
      <c r="O16" s="555"/>
      <c r="P16" s="555"/>
      <c r="Q16" s="1" t="b">
        <f>G16='Quadro Geral'!H23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0" t="s">
        <v>375</v>
      </c>
      <c r="C20" s="191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76.5" customHeight="1" x14ac:dyDescent="0.4">
      <c r="A22" s="84">
        <v>1</v>
      </c>
      <c r="B22" s="285">
        <v>12</v>
      </c>
      <c r="C22" s="156" t="s">
        <v>481</v>
      </c>
      <c r="D22" s="74"/>
      <c r="E22" s="74" t="s">
        <v>538</v>
      </c>
      <c r="F22" s="75">
        <v>43831</v>
      </c>
      <c r="G22" s="75">
        <v>44196</v>
      </c>
      <c r="H22" s="231">
        <v>6305.05</v>
      </c>
      <c r="I22" s="231">
        <v>6580.86</v>
      </c>
      <c r="J22" s="86">
        <f t="shared" ref="J22:J30" si="0">I22-H22</f>
        <v>275.80999999999949</v>
      </c>
      <c r="K22" s="76">
        <f t="shared" ref="K22:K30" si="1">IFERROR(J22/H22*100,0)</f>
        <v>4.3744300203804807</v>
      </c>
      <c r="L22" s="76">
        <f t="shared" ref="L22:L30" si="2">IFERROR(I22/$I$31*100,0)</f>
        <v>100</v>
      </c>
      <c r="M22" s="76" t="s">
        <v>349</v>
      </c>
      <c r="N22" s="103">
        <v>6580.86</v>
      </c>
      <c r="O22" s="107">
        <f t="shared" ref="O22:O30" si="3">IFERROR(N22/I22*100,)</f>
        <v>100</v>
      </c>
      <c r="P22" s="74"/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231"/>
      <c r="I23" s="231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1"/>
      <c r="I24" s="231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231"/>
      <c r="I25" s="231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1"/>
      <c r="I26" s="231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232">
        <f>SUM(H21:H30)</f>
        <v>6305.05</v>
      </c>
      <c r="I31" s="232">
        <f>SUM(I21:I30)</f>
        <v>6580.86</v>
      </c>
      <c r="J31" s="105">
        <f>I31-H31</f>
        <v>275.80999999999949</v>
      </c>
      <c r="K31" s="106">
        <f>IFERROR(J31/H31*100,0)</f>
        <v>4.3744300203804807</v>
      </c>
      <c r="L31" s="106">
        <f>IFERROR(I31/$I$31*100,0)</f>
        <v>100</v>
      </c>
      <c r="M31" s="106"/>
      <c r="N31" s="104">
        <f>SUM(N21:N30)</f>
        <v>6580.86</v>
      </c>
      <c r="O31" s="88">
        <f>IFERROR(N31/I31*100,)</f>
        <v>100</v>
      </c>
      <c r="P31" s="88"/>
    </row>
    <row r="32" spans="1:36" ht="26.25" customHeight="1" x14ac:dyDescent="0.4">
      <c r="A32" s="1"/>
      <c r="B32" s="1"/>
      <c r="C32" s="1"/>
      <c r="D32" s="1"/>
      <c r="E32" s="1"/>
      <c r="F32" s="1"/>
      <c r="G32" s="1"/>
      <c r="H32" s="234">
        <f>'Quadro Geral'!I23</f>
        <v>6305.05</v>
      </c>
      <c r="I32" s="1"/>
      <c r="J32" s="1"/>
      <c r="K32" s="1"/>
      <c r="L32" s="1"/>
      <c r="M32" s="1"/>
      <c r="N32" s="1"/>
      <c r="O32" s="1"/>
      <c r="P32" s="1"/>
    </row>
    <row r="33" spans="1:20" x14ac:dyDescent="0.4">
      <c r="A33" s="559" t="s">
        <v>77</v>
      </c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1:20" ht="36" customHeight="1" x14ac:dyDescent="0.25">
      <c r="A34" s="535" t="s">
        <v>379</v>
      </c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7"/>
    </row>
    <row r="35" spans="1:20" ht="95.25" customHeight="1" x14ac:dyDescent="0.4">
      <c r="A35" s="562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  <c r="P35" s="564"/>
    </row>
    <row r="36" spans="1:20" ht="15" hidden="1" customHeight="1" x14ac:dyDescent="0.4">
      <c r="A36" s="565" t="s">
        <v>8</v>
      </c>
      <c r="B36" s="565"/>
      <c r="C36" s="565"/>
      <c r="D36" s="565"/>
      <c r="E36" s="565"/>
      <c r="F36" s="565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1:20" ht="15" hidden="1" customHeight="1" x14ac:dyDescent="0.4">
      <c r="A37" s="90" t="s">
        <v>12</v>
      </c>
      <c r="B37" s="566" t="s">
        <v>16</v>
      </c>
      <c r="C37" s="566"/>
      <c r="D37" s="566"/>
      <c r="E37" s="566"/>
      <c r="F37" s="566"/>
      <c r="N37" s="42"/>
      <c r="O37" s="42"/>
      <c r="P37" s="42"/>
    </row>
    <row r="38" spans="1:20" ht="15" hidden="1" customHeight="1" x14ac:dyDescent="0.4">
      <c r="A38" s="90" t="s">
        <v>13</v>
      </c>
      <c r="B38" s="566" t="s">
        <v>9</v>
      </c>
      <c r="C38" s="566"/>
      <c r="D38" s="566"/>
      <c r="E38" s="566"/>
      <c r="F38" s="566"/>
      <c r="N38" s="42"/>
      <c r="O38" s="42"/>
      <c r="P38" s="42"/>
    </row>
    <row r="39" spans="1:20" ht="15" hidden="1" customHeight="1" x14ac:dyDescent="0.4">
      <c r="A39" s="90" t="s">
        <v>14</v>
      </c>
      <c r="B39" s="566" t="s">
        <v>10</v>
      </c>
      <c r="C39" s="566"/>
      <c r="D39" s="566"/>
      <c r="E39" s="566"/>
      <c r="F39" s="566"/>
      <c r="N39" s="42"/>
      <c r="O39" s="42"/>
      <c r="P39" s="42"/>
    </row>
    <row r="40" spans="1:20" ht="15" hidden="1" customHeight="1" x14ac:dyDescent="0.4">
      <c r="A40" s="90" t="s">
        <v>15</v>
      </c>
      <c r="B40" s="566" t="s">
        <v>11</v>
      </c>
      <c r="C40" s="566"/>
      <c r="D40" s="566"/>
      <c r="E40" s="566"/>
      <c r="F40" s="566"/>
      <c r="N40" s="42"/>
      <c r="O40" s="42"/>
      <c r="P40" s="42"/>
    </row>
    <row r="41" spans="1:20" ht="35.25" customHeight="1" x14ac:dyDescent="0.4"/>
    <row r="42" spans="1:20" ht="60" customHeight="1" x14ac:dyDescent="0.25">
      <c r="A42" s="535" t="s">
        <v>385</v>
      </c>
      <c r="B42" s="536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7"/>
      <c r="Q42" s="133"/>
      <c r="R42" s="133"/>
      <c r="S42" s="133"/>
      <c r="T42" s="187"/>
    </row>
    <row r="43" spans="1:20" ht="26.25" customHeight="1" x14ac:dyDescent="0.25">
      <c r="A43" s="560" t="s">
        <v>389</v>
      </c>
      <c r="B43" s="560"/>
      <c r="C43" s="560"/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26.2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1.5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6.25" hidden="1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  <row r="91" spans="1:16" ht="225.75" customHeight="1" x14ac:dyDescent="0.25">
      <c r="A91" s="561"/>
      <c r="B91" s="561"/>
      <c r="C91" s="561"/>
      <c r="D91" s="561"/>
      <c r="E91" s="561"/>
      <c r="F91" s="561"/>
      <c r="G91" s="561"/>
      <c r="H91" s="561"/>
      <c r="I91" s="561"/>
      <c r="J91" s="561"/>
      <c r="K91" s="561"/>
      <c r="L91" s="561"/>
      <c r="M91" s="561"/>
      <c r="N91" s="561"/>
      <c r="O91" s="561"/>
      <c r="P91" s="561"/>
    </row>
  </sheetData>
  <sheetProtection formatCells="0" formatRows="0" insertRows="0" deleteRows="0"/>
  <mergeCells count="52">
    <mergeCell ref="A43:P91"/>
    <mergeCell ref="A35:P35"/>
    <mergeCell ref="A36:F36"/>
    <mergeCell ref="B37:F37"/>
    <mergeCell ref="B38:F38"/>
    <mergeCell ref="B39:F39"/>
    <mergeCell ref="B40:F40"/>
    <mergeCell ref="O19:O20"/>
    <mergeCell ref="Q21:W21"/>
    <mergeCell ref="A31:G31"/>
    <mergeCell ref="A33:P33"/>
    <mergeCell ref="A42:P42"/>
    <mergeCell ref="A34:P34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0"/>
  <sheetViews>
    <sheetView showGridLines="0" topLeftCell="A4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1.5703125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392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416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393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432</v>
      </c>
      <c r="H12" s="552"/>
      <c r="I12" s="552"/>
      <c r="J12" s="552"/>
      <c r="K12" s="552"/>
      <c r="L12" s="552"/>
      <c r="M12" s="552"/>
      <c r="N12" s="552"/>
      <c r="O12" s="552"/>
      <c r="P12" s="553"/>
      <c r="Q12" s="1" t="b">
        <f>G12='Quadro Geral'!D24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470</v>
      </c>
      <c r="H13" s="547"/>
      <c r="I13" s="547"/>
      <c r="J13" s="547"/>
      <c r="K13" s="547"/>
      <c r="L13" s="547"/>
      <c r="M13" s="547"/>
      <c r="N13" s="547"/>
      <c r="O13" s="547"/>
      <c r="P13" s="547"/>
      <c r="Q13" s="1" t="b">
        <f>G13='Quadro Geral'!E24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53</v>
      </c>
      <c r="H14" s="547"/>
      <c r="I14" s="547"/>
      <c r="J14" s="547"/>
      <c r="K14" s="547"/>
      <c r="L14" s="547"/>
      <c r="M14" s="547"/>
      <c r="N14" s="547"/>
      <c r="O14" s="547"/>
      <c r="P14" s="547"/>
      <c r="Q14" s="1" t="b">
        <f>G14='Quadro Geral'!F24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555</v>
      </c>
      <c r="H16" s="555"/>
      <c r="I16" s="555"/>
      <c r="J16" s="555"/>
      <c r="K16" s="555"/>
      <c r="L16" s="555"/>
      <c r="M16" s="555"/>
      <c r="N16" s="555"/>
      <c r="O16" s="555"/>
      <c r="P16" s="555"/>
      <c r="Q16" s="1" t="b">
        <f>G16='Quadro Geral'!H24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0" t="s">
        <v>375</v>
      </c>
      <c r="C20" s="191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76.5" customHeight="1" x14ac:dyDescent="0.4">
      <c r="A22" s="84">
        <v>1</v>
      </c>
      <c r="B22" s="285">
        <v>12</v>
      </c>
      <c r="C22" s="156" t="s">
        <v>461</v>
      </c>
      <c r="D22" s="74"/>
      <c r="E22" s="74" t="s">
        <v>539</v>
      </c>
      <c r="F22" s="75">
        <v>43831</v>
      </c>
      <c r="G22" s="75">
        <v>44196</v>
      </c>
      <c r="H22" s="231">
        <v>4622.04</v>
      </c>
      <c r="I22" s="231">
        <v>4772</v>
      </c>
      <c r="J22" s="86">
        <f t="shared" ref="J22:J30" si="0">I22-H22</f>
        <v>149.96000000000004</v>
      </c>
      <c r="K22" s="76">
        <f t="shared" ref="K22:K30" si="1">IFERROR(J22/H22*100,0)</f>
        <v>3.2444548294692392</v>
      </c>
      <c r="L22" s="76">
        <f t="shared" ref="L22:L30" si="2">IFERROR(I22/$I$31*100,0)</f>
        <v>100</v>
      </c>
      <c r="M22" s="76" t="s">
        <v>349</v>
      </c>
      <c r="N22" s="103">
        <v>0</v>
      </c>
      <c r="O22" s="107">
        <f t="shared" ref="O22:O30" si="3">IFERROR(N22/I22*100,)</f>
        <v>0</v>
      </c>
      <c r="P22" s="74" t="s">
        <v>416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231"/>
      <c r="I23" s="231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1"/>
      <c r="I24" s="231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231"/>
      <c r="I25" s="231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1"/>
      <c r="I26" s="231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232">
        <f>SUM(H21:H30)</f>
        <v>4622.04</v>
      </c>
      <c r="I31" s="232">
        <f>SUM(I21:I30)</f>
        <v>4772</v>
      </c>
      <c r="J31" s="105">
        <f>I31-H31</f>
        <v>149.96000000000004</v>
      </c>
      <c r="K31" s="106">
        <f>IFERROR(J31/H31*100,0)</f>
        <v>3.2444548294692392</v>
      </c>
      <c r="L31" s="106">
        <f>IFERROR(I31/$I$31*100,0)</f>
        <v>100</v>
      </c>
      <c r="M31" s="106"/>
      <c r="N31" s="104">
        <f>SUM(N21:N30)</f>
        <v>0</v>
      </c>
      <c r="O31" s="88">
        <f>IFERROR(N31/I31*100,)</f>
        <v>0</v>
      </c>
      <c r="P31" s="88"/>
    </row>
    <row r="32" spans="1:36" x14ac:dyDescent="0.4">
      <c r="A32" s="238" t="s">
        <v>77</v>
      </c>
      <c r="B32" s="238"/>
      <c r="C32" s="238"/>
      <c r="D32" s="238"/>
      <c r="E32" s="238"/>
      <c r="F32" s="238"/>
      <c r="G32" s="238"/>
      <c r="H32" s="238">
        <f>'Quadro Geral'!I24</f>
        <v>4622.04</v>
      </c>
      <c r="I32" s="238"/>
      <c r="J32" s="238"/>
      <c r="K32" s="238"/>
      <c r="L32" s="238"/>
      <c r="M32" s="238"/>
      <c r="N32" s="238"/>
      <c r="O32" s="238"/>
      <c r="P32" s="238"/>
    </row>
    <row r="33" spans="1:20" ht="36" customHeight="1" x14ac:dyDescent="0.25">
      <c r="A33" s="535" t="s">
        <v>379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7"/>
    </row>
    <row r="34" spans="1:20" ht="95.25" customHeight="1" x14ac:dyDescent="0.4">
      <c r="A34" s="562"/>
      <c r="B34" s="563"/>
      <c r="C34" s="563"/>
      <c r="D34" s="563"/>
      <c r="E34" s="563"/>
      <c r="F34" s="563"/>
      <c r="G34" s="563"/>
      <c r="H34" s="563"/>
      <c r="I34" s="563"/>
      <c r="J34" s="563"/>
      <c r="K34" s="563"/>
      <c r="L34" s="563"/>
      <c r="M34" s="563"/>
      <c r="N34" s="563"/>
      <c r="O34" s="563"/>
      <c r="P34" s="564"/>
    </row>
    <row r="35" spans="1:20" ht="15" hidden="1" customHeight="1" x14ac:dyDescent="0.4">
      <c r="A35" s="565" t="s">
        <v>8</v>
      </c>
      <c r="B35" s="565"/>
      <c r="C35" s="565"/>
      <c r="D35" s="565"/>
      <c r="E35" s="565"/>
      <c r="F35" s="565"/>
      <c r="G35" s="89"/>
      <c r="H35" s="89"/>
      <c r="I35" s="89"/>
      <c r="J35" s="89"/>
      <c r="K35" s="89"/>
      <c r="L35" s="89"/>
      <c r="M35" s="89"/>
      <c r="N35" s="89"/>
      <c r="O35" s="89"/>
      <c r="P35" s="89"/>
    </row>
    <row r="36" spans="1:20" ht="15" hidden="1" customHeight="1" x14ac:dyDescent="0.4">
      <c r="A36" s="90" t="s">
        <v>12</v>
      </c>
      <c r="B36" s="566" t="s">
        <v>16</v>
      </c>
      <c r="C36" s="566"/>
      <c r="D36" s="566"/>
      <c r="E36" s="566"/>
      <c r="F36" s="566"/>
      <c r="N36" s="42"/>
      <c r="O36" s="42"/>
      <c r="P36" s="42"/>
    </row>
    <row r="37" spans="1:20" ht="15" hidden="1" customHeight="1" x14ac:dyDescent="0.4">
      <c r="A37" s="90" t="s">
        <v>13</v>
      </c>
      <c r="B37" s="566" t="s">
        <v>9</v>
      </c>
      <c r="C37" s="566"/>
      <c r="D37" s="566"/>
      <c r="E37" s="566"/>
      <c r="F37" s="566"/>
      <c r="N37" s="42"/>
      <c r="O37" s="42"/>
      <c r="P37" s="42"/>
    </row>
    <row r="38" spans="1:20" ht="15" hidden="1" customHeight="1" x14ac:dyDescent="0.4">
      <c r="A38" s="90" t="s">
        <v>14</v>
      </c>
      <c r="B38" s="566" t="s">
        <v>10</v>
      </c>
      <c r="C38" s="566"/>
      <c r="D38" s="566"/>
      <c r="E38" s="566"/>
      <c r="F38" s="566"/>
      <c r="N38" s="42"/>
      <c r="O38" s="42"/>
      <c r="P38" s="42"/>
    </row>
    <row r="39" spans="1:20" ht="15" hidden="1" customHeight="1" x14ac:dyDescent="0.4">
      <c r="A39" s="90" t="s">
        <v>15</v>
      </c>
      <c r="B39" s="566" t="s">
        <v>11</v>
      </c>
      <c r="C39" s="566"/>
      <c r="D39" s="566"/>
      <c r="E39" s="566"/>
      <c r="F39" s="566"/>
      <c r="N39" s="42"/>
      <c r="O39" s="42"/>
      <c r="P39" s="42"/>
    </row>
    <row r="40" spans="1:20" ht="35.25" customHeight="1" x14ac:dyDescent="0.4"/>
    <row r="41" spans="1:20" ht="60" customHeight="1" x14ac:dyDescent="0.25">
      <c r="A41" s="535" t="s">
        <v>385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7"/>
      <c r="Q41" s="133"/>
      <c r="R41" s="133"/>
      <c r="S41" s="133"/>
      <c r="T41" s="187"/>
    </row>
    <row r="42" spans="1:20" ht="26.25" customHeight="1" x14ac:dyDescent="0.25">
      <c r="A42" s="560" t="s">
        <v>389</v>
      </c>
      <c r="B42" s="560"/>
      <c r="C42" s="560"/>
      <c r="D42" s="560"/>
      <c r="E42" s="560"/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</row>
    <row r="43" spans="1:20" ht="26.25" customHeight="1" x14ac:dyDescent="0.25">
      <c r="A43" s="561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1.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26.25" hidden="1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25.75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</sheetData>
  <sheetProtection formatCells="0" formatRows="0" insertRows="0" deleteRows="0"/>
  <mergeCells count="51">
    <mergeCell ref="A42:P90"/>
    <mergeCell ref="A34:P34"/>
    <mergeCell ref="A35:F35"/>
    <mergeCell ref="B36:F36"/>
    <mergeCell ref="B37:F37"/>
    <mergeCell ref="B38:F38"/>
    <mergeCell ref="B39:F39"/>
    <mergeCell ref="O19:O20"/>
    <mergeCell ref="Q21:W21"/>
    <mergeCell ref="A31:G31"/>
    <mergeCell ref="A41:P41"/>
    <mergeCell ref="A33:P33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0"/>
  <sheetViews>
    <sheetView showGridLines="0" topLeftCell="A16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1.5703125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402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403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425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433</v>
      </c>
      <c r="H12" s="552"/>
      <c r="I12" s="552"/>
      <c r="J12" s="552"/>
      <c r="K12" s="552"/>
      <c r="L12" s="552"/>
      <c r="M12" s="552"/>
      <c r="N12" s="552"/>
      <c r="O12" s="552"/>
      <c r="P12" s="553"/>
      <c r="Q12" s="1" t="b">
        <f>G12='Quadro Geral'!D25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434</v>
      </c>
      <c r="H13" s="547"/>
      <c r="I13" s="547"/>
      <c r="J13" s="547"/>
      <c r="K13" s="547"/>
      <c r="L13" s="547"/>
      <c r="M13" s="547"/>
      <c r="N13" s="547"/>
      <c r="O13" s="547"/>
      <c r="P13" s="547"/>
      <c r="Q13" s="1" t="b">
        <f>G13='Quadro Geral'!E25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53</v>
      </c>
      <c r="H14" s="547"/>
      <c r="I14" s="547"/>
      <c r="J14" s="547"/>
      <c r="K14" s="547"/>
      <c r="L14" s="547"/>
      <c r="M14" s="547"/>
      <c r="N14" s="547"/>
      <c r="O14" s="547"/>
      <c r="P14" s="547"/>
      <c r="Q14" s="1" t="b">
        <f>G14='Quadro Geral'!F25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435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Geral'!H25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0" t="s">
        <v>375</v>
      </c>
      <c r="C20" s="191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131.25" x14ac:dyDescent="0.4">
      <c r="A22" s="84">
        <v>1</v>
      </c>
      <c r="B22" s="285">
        <v>12</v>
      </c>
      <c r="C22" s="156" t="s">
        <v>462</v>
      </c>
      <c r="D22" s="74"/>
      <c r="E22" s="74" t="s">
        <v>511</v>
      </c>
      <c r="F22" s="75">
        <v>43831</v>
      </c>
      <c r="G22" s="75">
        <v>44196</v>
      </c>
      <c r="H22" s="231">
        <v>794959</v>
      </c>
      <c r="I22" s="231">
        <v>792000</v>
      </c>
      <c r="J22" s="86">
        <f t="shared" ref="J22:J30" si="0">I22-H22</f>
        <v>-2959</v>
      </c>
      <c r="K22" s="76">
        <f t="shared" ref="K22:K30" si="1">IFERROR(J22/H22*100,0)</f>
        <v>-0.37222045413662846</v>
      </c>
      <c r="L22" s="76">
        <f t="shared" ref="L22:L30" si="2">IFERROR(I22/$I$31*100,0)</f>
        <v>100</v>
      </c>
      <c r="M22" s="76" t="s">
        <v>6</v>
      </c>
      <c r="N22" s="103">
        <v>0</v>
      </c>
      <c r="O22" s="107">
        <f t="shared" ref="O22:O30" si="3">IFERROR(N22/I22*100,)</f>
        <v>0</v>
      </c>
      <c r="P22" s="74" t="s">
        <v>403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231"/>
      <c r="I23" s="231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231"/>
      <c r="I24" s="231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231"/>
      <c r="I25" s="231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231"/>
      <c r="I26" s="231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1"/>
      <c r="I30" s="231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232">
        <f>SUM(H21:H30)</f>
        <v>794959</v>
      </c>
      <c r="I31" s="232">
        <f>SUM(I21:I30)</f>
        <v>792000</v>
      </c>
      <c r="J31" s="105">
        <f>I31-H31</f>
        <v>-2959</v>
      </c>
      <c r="K31" s="106">
        <f>IFERROR(J31/H31*100,0)</f>
        <v>-0.37222045413662846</v>
      </c>
      <c r="L31" s="106">
        <f>IFERROR(I31/$I$31*100,0)</f>
        <v>100</v>
      </c>
      <c r="M31" s="106"/>
      <c r="N31" s="104">
        <f>SUM(N21:N30)</f>
        <v>0</v>
      </c>
      <c r="O31" s="88">
        <f>IFERROR(N31/I31*100,)</f>
        <v>0</v>
      </c>
      <c r="P31" s="88"/>
    </row>
    <row r="32" spans="1:36" x14ac:dyDescent="0.4">
      <c r="A32" s="238" t="s">
        <v>77</v>
      </c>
      <c r="B32" s="238"/>
      <c r="C32" s="238"/>
      <c r="D32" s="238"/>
      <c r="E32" s="238"/>
      <c r="F32" s="238"/>
      <c r="G32" s="238"/>
      <c r="H32" s="239">
        <f>'Quadro Geral'!I25</f>
        <v>794959</v>
      </c>
      <c r="I32" s="238"/>
      <c r="J32" s="238"/>
      <c r="K32" s="238"/>
      <c r="L32" s="238"/>
      <c r="M32" s="238"/>
      <c r="N32" s="238"/>
      <c r="O32" s="238"/>
      <c r="P32" s="238"/>
    </row>
    <row r="33" spans="1:20" ht="36" customHeight="1" x14ac:dyDescent="0.25">
      <c r="A33" s="535" t="s">
        <v>379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7"/>
    </row>
    <row r="34" spans="1:20" ht="95.25" customHeight="1" x14ac:dyDescent="0.4">
      <c r="A34" s="562"/>
      <c r="B34" s="563"/>
      <c r="C34" s="563"/>
      <c r="D34" s="563"/>
      <c r="E34" s="563"/>
      <c r="F34" s="563"/>
      <c r="G34" s="563"/>
      <c r="H34" s="563"/>
      <c r="I34" s="563"/>
      <c r="J34" s="563"/>
      <c r="K34" s="563"/>
      <c r="L34" s="563"/>
      <c r="M34" s="563"/>
      <c r="N34" s="563"/>
      <c r="O34" s="563"/>
      <c r="P34" s="564"/>
    </row>
    <row r="35" spans="1:20" ht="15" hidden="1" customHeight="1" x14ac:dyDescent="0.4">
      <c r="A35" s="565" t="s">
        <v>8</v>
      </c>
      <c r="B35" s="565"/>
      <c r="C35" s="565"/>
      <c r="D35" s="565"/>
      <c r="E35" s="565"/>
      <c r="F35" s="565"/>
      <c r="G35" s="89"/>
      <c r="H35" s="89"/>
      <c r="I35" s="89"/>
      <c r="J35" s="89"/>
      <c r="K35" s="89"/>
      <c r="L35" s="89"/>
      <c r="M35" s="89"/>
      <c r="N35" s="89"/>
      <c r="O35" s="89"/>
      <c r="P35" s="89"/>
    </row>
    <row r="36" spans="1:20" ht="15" hidden="1" customHeight="1" x14ac:dyDescent="0.4">
      <c r="A36" s="90" t="s">
        <v>12</v>
      </c>
      <c r="B36" s="566" t="s">
        <v>16</v>
      </c>
      <c r="C36" s="566"/>
      <c r="D36" s="566"/>
      <c r="E36" s="566"/>
      <c r="F36" s="566"/>
      <c r="N36" s="42"/>
      <c r="O36" s="42"/>
      <c r="P36" s="42"/>
    </row>
    <row r="37" spans="1:20" ht="15" hidden="1" customHeight="1" x14ac:dyDescent="0.4">
      <c r="A37" s="90" t="s">
        <v>13</v>
      </c>
      <c r="B37" s="566" t="s">
        <v>9</v>
      </c>
      <c r="C37" s="566"/>
      <c r="D37" s="566"/>
      <c r="E37" s="566"/>
      <c r="F37" s="566"/>
      <c r="N37" s="42"/>
      <c r="O37" s="42"/>
      <c r="P37" s="42"/>
    </row>
    <row r="38" spans="1:20" ht="15" hidden="1" customHeight="1" x14ac:dyDescent="0.4">
      <c r="A38" s="90" t="s">
        <v>14</v>
      </c>
      <c r="B38" s="566" t="s">
        <v>10</v>
      </c>
      <c r="C38" s="566"/>
      <c r="D38" s="566"/>
      <c r="E38" s="566"/>
      <c r="F38" s="566"/>
      <c r="N38" s="42"/>
      <c r="O38" s="42"/>
      <c r="P38" s="42"/>
    </row>
    <row r="39" spans="1:20" ht="15" hidden="1" customHeight="1" x14ac:dyDescent="0.4">
      <c r="A39" s="90" t="s">
        <v>15</v>
      </c>
      <c r="B39" s="566" t="s">
        <v>11</v>
      </c>
      <c r="C39" s="566"/>
      <c r="D39" s="566"/>
      <c r="E39" s="566"/>
      <c r="F39" s="566"/>
      <c r="N39" s="42"/>
      <c r="O39" s="42"/>
      <c r="P39" s="42"/>
    </row>
    <row r="40" spans="1:20" ht="35.25" customHeight="1" x14ac:dyDescent="0.4"/>
    <row r="41" spans="1:20" ht="60" customHeight="1" x14ac:dyDescent="0.25">
      <c r="A41" s="535" t="s">
        <v>385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7"/>
      <c r="Q41" s="133"/>
      <c r="R41" s="133"/>
      <c r="S41" s="133"/>
      <c r="T41" s="187"/>
    </row>
    <row r="42" spans="1:20" ht="26.25" customHeight="1" x14ac:dyDescent="0.25">
      <c r="A42" s="560" t="s">
        <v>389</v>
      </c>
      <c r="B42" s="560"/>
      <c r="C42" s="560"/>
      <c r="D42" s="560"/>
      <c r="E42" s="560"/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</row>
    <row r="43" spans="1:20" ht="26.25" customHeight="1" x14ac:dyDescent="0.25">
      <c r="A43" s="561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1.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26.25" hidden="1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25.75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</sheetData>
  <sheetProtection formatCells="0" formatRows="0" insertRows="0" deleteRows="0"/>
  <mergeCells count="51">
    <mergeCell ref="A42:P90"/>
    <mergeCell ref="A34:P34"/>
    <mergeCell ref="A35:F35"/>
    <mergeCell ref="B36:F36"/>
    <mergeCell ref="B37:F37"/>
    <mergeCell ref="B38:F38"/>
    <mergeCell ref="B39:F39"/>
    <mergeCell ref="O19:O20"/>
    <mergeCell ref="Q21:W21"/>
    <mergeCell ref="A31:G31"/>
    <mergeCell ref="A41:P41"/>
    <mergeCell ref="A33:P33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0"/>
  <sheetViews>
    <sheetView showGridLines="0" topLeftCell="A7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customWidth="1"/>
    <col min="5" max="5" width="91.5703125" style="42" customWidth="1"/>
    <col min="6" max="6" width="40.7109375" style="42" customWidth="1"/>
    <col min="7" max="7" width="36.5703125" style="42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545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472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425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542</v>
      </c>
      <c r="H12" s="552"/>
      <c r="I12" s="552"/>
      <c r="J12" s="552"/>
      <c r="K12" s="552"/>
      <c r="L12" s="552"/>
      <c r="M12" s="552"/>
      <c r="N12" s="552"/>
      <c r="O12" s="552"/>
      <c r="P12" s="553"/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543</v>
      </c>
      <c r="H13" s="547"/>
      <c r="I13" s="547"/>
      <c r="J13" s="547"/>
      <c r="K13" s="547"/>
      <c r="L13" s="547"/>
      <c r="M13" s="547"/>
      <c r="N13" s="547"/>
      <c r="O13" s="547"/>
      <c r="P13" s="547"/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50</v>
      </c>
      <c r="H14" s="547"/>
      <c r="I14" s="547"/>
      <c r="J14" s="547"/>
      <c r="K14" s="547"/>
      <c r="L14" s="547"/>
      <c r="M14" s="547"/>
      <c r="N14" s="547"/>
      <c r="O14" s="547"/>
      <c r="P14" s="547"/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544</v>
      </c>
      <c r="H16" s="555"/>
      <c r="I16" s="555"/>
      <c r="J16" s="555"/>
      <c r="K16" s="555"/>
      <c r="L16" s="555"/>
      <c r="M16" s="555"/>
      <c r="N16" s="555"/>
      <c r="O16" s="555"/>
      <c r="P16" s="555"/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2" t="s">
        <v>375</v>
      </c>
      <c r="C20" s="193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74.25" customHeight="1" x14ac:dyDescent="0.4">
      <c r="A22" s="84">
        <v>1</v>
      </c>
      <c r="B22" s="285">
        <v>12</v>
      </c>
      <c r="C22" s="156" t="s">
        <v>473</v>
      </c>
      <c r="D22" s="74"/>
      <c r="E22" s="74" t="s">
        <v>540</v>
      </c>
      <c r="F22" s="75">
        <v>43831</v>
      </c>
      <c r="G22" s="75">
        <v>44196</v>
      </c>
      <c r="H22" s="85">
        <v>0</v>
      </c>
      <c r="I22" s="85">
        <v>4000</v>
      </c>
      <c r="J22" s="86">
        <f t="shared" ref="J22:J30" si="0">I22-H22</f>
        <v>4000</v>
      </c>
      <c r="K22" s="76">
        <f t="shared" ref="K22:K30" si="1">IFERROR(J22/H22*100,0)</f>
        <v>0</v>
      </c>
      <c r="L22" s="76">
        <f t="shared" ref="L22:L30" si="2">IFERROR(I22/$I$31*100,0)</f>
        <v>100</v>
      </c>
      <c r="M22" s="76" t="s">
        <v>347</v>
      </c>
      <c r="N22" s="103">
        <v>0</v>
      </c>
      <c r="O22" s="107">
        <f t="shared" ref="O22:O30" si="3">IFERROR(N22/I22*100,)</f>
        <v>0</v>
      </c>
      <c r="P22" s="74" t="s">
        <v>472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85"/>
      <c r="I23" s="85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85"/>
      <c r="I24" s="85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85"/>
      <c r="I25" s="85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85"/>
      <c r="I26" s="85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85"/>
      <c r="I27" s="85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85"/>
      <c r="I28" s="85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85"/>
      <c r="I29" s="85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85"/>
      <c r="I30" s="85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87">
        <f>SUM(H21:H30)</f>
        <v>0</v>
      </c>
      <c r="I31" s="87">
        <f>SUM(I21:I30)</f>
        <v>4000</v>
      </c>
      <c r="J31" s="105">
        <f>I31-H31</f>
        <v>4000</v>
      </c>
      <c r="K31" s="106">
        <f>IFERROR(J31/H31*100,0)</f>
        <v>0</v>
      </c>
      <c r="L31" s="106">
        <f>IFERROR(I31/$I$31*100,0)</f>
        <v>100</v>
      </c>
      <c r="M31" s="106"/>
      <c r="N31" s="104">
        <f>SUM(N21:N30)</f>
        <v>0</v>
      </c>
      <c r="O31" s="88">
        <f>IFERROR(N31/I31*100,)</f>
        <v>0</v>
      </c>
      <c r="P31" s="88"/>
    </row>
    <row r="32" spans="1:36" x14ac:dyDescent="0.4">
      <c r="A32" s="559" t="s">
        <v>77</v>
      </c>
      <c r="B32" s="559"/>
      <c r="C32" s="559"/>
      <c r="D32" s="559"/>
      <c r="E32" s="559"/>
      <c r="F32" s="559"/>
      <c r="G32" s="559"/>
      <c r="H32" s="559"/>
      <c r="I32" s="559"/>
      <c r="J32" s="559"/>
      <c r="K32" s="559"/>
      <c r="L32" s="559"/>
      <c r="M32" s="559"/>
      <c r="N32" s="559"/>
      <c r="O32" s="559"/>
      <c r="P32" s="559"/>
    </row>
    <row r="33" spans="1:34" ht="36" customHeight="1" x14ac:dyDescent="0.25">
      <c r="A33" s="535" t="s">
        <v>379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7"/>
    </row>
    <row r="34" spans="1:34" ht="408.75" customHeight="1" x14ac:dyDescent="0.25">
      <c r="A34" s="567" t="s">
        <v>565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9"/>
    </row>
    <row r="35" spans="1:34" s="187" customFormat="1" ht="208.5" customHeight="1" x14ac:dyDescent="0.25">
      <c r="A35" s="570"/>
      <c r="B35" s="571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1"/>
      <c r="P35" s="572"/>
      <c r="Z35" s="297"/>
      <c r="AA35" s="297"/>
      <c r="AB35" s="297"/>
      <c r="AC35" s="297"/>
      <c r="AD35" s="297"/>
      <c r="AE35" s="297"/>
      <c r="AF35" s="297"/>
      <c r="AG35" s="297"/>
      <c r="AH35" s="297"/>
    </row>
    <row r="36" spans="1:34" s="187" customFormat="1" ht="15" customHeight="1" x14ac:dyDescent="0.4">
      <c r="A36" s="298"/>
      <c r="B36" s="573"/>
      <c r="C36" s="573"/>
      <c r="D36" s="573"/>
      <c r="E36" s="573"/>
      <c r="F36" s="573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Z36" s="297"/>
      <c r="AA36" s="297"/>
      <c r="AB36" s="297"/>
      <c r="AC36" s="297"/>
      <c r="AD36" s="297"/>
      <c r="AE36" s="297"/>
      <c r="AF36" s="297"/>
      <c r="AG36" s="297"/>
      <c r="AH36" s="297"/>
    </row>
    <row r="37" spans="1:34" s="187" customFormat="1" ht="15" customHeight="1" x14ac:dyDescent="0.4">
      <c r="A37" s="298"/>
      <c r="B37" s="573"/>
      <c r="C37" s="573"/>
      <c r="D37" s="573"/>
      <c r="E37" s="573"/>
      <c r="F37" s="573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Z37" s="297"/>
      <c r="AA37" s="297"/>
      <c r="AB37" s="297"/>
      <c r="AC37" s="297"/>
      <c r="AD37" s="297"/>
      <c r="AE37" s="297"/>
      <c r="AF37" s="297"/>
      <c r="AG37" s="297"/>
      <c r="AH37" s="297"/>
    </row>
    <row r="38" spans="1:34" s="187" customFormat="1" ht="15" customHeight="1" x14ac:dyDescent="0.4">
      <c r="A38" s="298"/>
      <c r="B38" s="573"/>
      <c r="C38" s="573"/>
      <c r="D38" s="573"/>
      <c r="E38" s="573"/>
      <c r="F38" s="573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Z38" s="297"/>
      <c r="AA38" s="297"/>
      <c r="AB38" s="297"/>
      <c r="AC38" s="297"/>
      <c r="AD38" s="297"/>
      <c r="AE38" s="297"/>
      <c r="AF38" s="297"/>
      <c r="AG38" s="297"/>
      <c r="AH38" s="297"/>
    </row>
    <row r="39" spans="1:34" s="187" customFormat="1" ht="15" customHeight="1" x14ac:dyDescent="0.4">
      <c r="A39" s="298"/>
      <c r="B39" s="573"/>
      <c r="C39" s="573"/>
      <c r="D39" s="573"/>
      <c r="E39" s="573"/>
      <c r="F39" s="573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Z39" s="297"/>
      <c r="AA39" s="297"/>
      <c r="AB39" s="297"/>
      <c r="AC39" s="297"/>
      <c r="AD39" s="297"/>
      <c r="AE39" s="297"/>
      <c r="AF39" s="297"/>
      <c r="AG39" s="297"/>
      <c r="AH39" s="297"/>
    </row>
    <row r="40" spans="1:34" ht="35.25" customHeight="1" x14ac:dyDescent="0.4"/>
    <row r="41" spans="1:34" ht="60" customHeight="1" x14ac:dyDescent="0.25">
      <c r="A41" s="535" t="s">
        <v>385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7"/>
      <c r="Q41" s="133"/>
      <c r="R41" s="133"/>
      <c r="S41" s="133"/>
      <c r="T41" s="187"/>
    </row>
    <row r="42" spans="1:34" ht="26.25" customHeight="1" x14ac:dyDescent="0.25">
      <c r="A42" s="560" t="s">
        <v>389</v>
      </c>
      <c r="B42" s="560"/>
      <c r="C42" s="560"/>
      <c r="D42" s="560"/>
      <c r="E42" s="560"/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</row>
    <row r="43" spans="1:34" ht="26.25" customHeight="1" x14ac:dyDescent="0.25">
      <c r="A43" s="561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</row>
    <row r="44" spans="1:34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34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34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34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34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1.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26.25" hidden="1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25.75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</sheetData>
  <sheetProtection formatCells="0" formatRows="0" insertRows="0" deleteRows="0"/>
  <mergeCells count="51">
    <mergeCell ref="A42:P90"/>
    <mergeCell ref="B36:F36"/>
    <mergeCell ref="B37:F37"/>
    <mergeCell ref="B38:F38"/>
    <mergeCell ref="B39:F39"/>
    <mergeCell ref="O19:O20"/>
    <mergeCell ref="Q21:W21"/>
    <mergeCell ref="A31:G31"/>
    <mergeCell ref="A32:P32"/>
    <mergeCell ref="A41:P41"/>
    <mergeCell ref="A33:P33"/>
    <mergeCell ref="H19:H20"/>
    <mergeCell ref="I19:I20"/>
    <mergeCell ref="J19:J20"/>
    <mergeCell ref="K19:K20"/>
    <mergeCell ref="N19:N20"/>
    <mergeCell ref="A34:P35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Resumo!$Q$1:$Q$16</xm:f>
          </x14:formula1>
          <xm:sqref>G14:P14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Resumo!$F$1:$F$12</xm:f>
          </x14:formula1>
          <xm:sqref>M21:M30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0"/>
  <sheetViews>
    <sheetView showGridLines="0" topLeftCell="A16" zoomScale="40" zoomScaleNormal="40" zoomScaleSheetLayoutView="80" workbookViewId="0">
      <selection activeCell="I22" sqref="I22"/>
    </sheetView>
  </sheetViews>
  <sheetFormatPr defaultColWidth="9.140625" defaultRowHeight="26.25" x14ac:dyDescent="0.4"/>
  <cols>
    <col min="1" max="1" width="13" style="42" customWidth="1"/>
    <col min="2" max="2" width="20.85546875" style="42" customWidth="1"/>
    <col min="3" max="3" width="166.5703125" style="42" bestFit="1" customWidth="1"/>
    <col min="4" max="4" width="86.5703125" style="42" hidden="1" customWidth="1"/>
    <col min="5" max="5" width="91.5703125" style="42" hidden="1" customWidth="1"/>
    <col min="6" max="6" width="40.7109375" style="42" hidden="1" customWidth="1"/>
    <col min="7" max="7" width="36.5703125" style="42" hidden="1" customWidth="1"/>
    <col min="8" max="8" width="46.5703125" style="42" customWidth="1"/>
    <col min="9" max="9" width="45.42578125" style="42" customWidth="1"/>
    <col min="10" max="10" width="34.42578125" style="42" customWidth="1"/>
    <col min="11" max="11" width="25" style="42" customWidth="1"/>
    <col min="12" max="12" width="20" style="42" customWidth="1"/>
    <col min="13" max="13" width="36.85546875" style="42" customWidth="1"/>
    <col min="14" max="14" width="32.28515625" style="43" customWidth="1"/>
    <col min="15" max="15" width="25.85546875" style="43" customWidth="1"/>
    <col min="16" max="16" width="36" style="43" customWidth="1"/>
    <col min="17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4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47" t="s">
        <v>392</v>
      </c>
      <c r="H8" s="547"/>
      <c r="I8" s="547"/>
      <c r="J8" s="547"/>
      <c r="K8" s="547"/>
      <c r="L8" s="547"/>
      <c r="M8" s="547"/>
      <c r="N8" s="547"/>
      <c r="O8" s="547"/>
      <c r="P8" s="547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47" t="s">
        <v>416</v>
      </c>
      <c r="H9" s="547"/>
      <c r="I9" s="547"/>
      <c r="J9" s="547"/>
      <c r="K9" s="547"/>
      <c r="L9" s="547"/>
      <c r="M9" s="547"/>
      <c r="N9" s="547"/>
      <c r="O9" s="547"/>
      <c r="P9" s="547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47" t="s">
        <v>393</v>
      </c>
      <c r="H10" s="547"/>
      <c r="I10" s="547"/>
      <c r="J10" s="547"/>
      <c r="K10" s="547"/>
      <c r="L10" s="547"/>
      <c r="M10" s="547"/>
      <c r="N10" s="547"/>
      <c r="O10" s="547"/>
      <c r="P10" s="547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48"/>
      <c r="H11" s="549"/>
      <c r="I11" s="549"/>
      <c r="J11" s="549"/>
      <c r="K11" s="549"/>
      <c r="L11" s="549"/>
      <c r="M11" s="549"/>
      <c r="N11" s="549"/>
      <c r="O11" s="549"/>
      <c r="P11" s="550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51" t="s">
        <v>476</v>
      </c>
      <c r="H12" s="552"/>
      <c r="I12" s="552"/>
      <c r="J12" s="552"/>
      <c r="K12" s="552"/>
      <c r="L12" s="552"/>
      <c r="M12" s="552"/>
      <c r="N12" s="552"/>
      <c r="O12" s="552"/>
      <c r="P12" s="553"/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47" t="s">
        <v>547</v>
      </c>
      <c r="H13" s="547"/>
      <c r="I13" s="547"/>
      <c r="J13" s="547"/>
      <c r="K13" s="547"/>
      <c r="L13" s="547"/>
      <c r="M13" s="547"/>
      <c r="N13" s="547"/>
      <c r="O13" s="547"/>
      <c r="P13" s="547"/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47" t="s">
        <v>49</v>
      </c>
      <c r="H14" s="547"/>
      <c r="I14" s="547"/>
      <c r="J14" s="547"/>
      <c r="K14" s="547"/>
      <c r="L14" s="547"/>
      <c r="M14" s="547"/>
      <c r="N14" s="547"/>
      <c r="O14" s="547"/>
      <c r="P14" s="547"/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55" t="s">
        <v>546</v>
      </c>
      <c r="H16" s="555"/>
      <c r="I16" s="555"/>
      <c r="J16" s="555"/>
      <c r="K16" s="555"/>
      <c r="L16" s="555"/>
      <c r="M16" s="555"/>
      <c r="N16" s="555"/>
      <c r="O16" s="555"/>
      <c r="P16" s="555"/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192" t="s">
        <v>375</v>
      </c>
      <c r="C20" s="193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IFERROR(I21/$I$31*100,0)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55.5" customHeight="1" x14ac:dyDescent="0.4">
      <c r="A22" s="84">
        <v>1</v>
      </c>
      <c r="B22" s="285">
        <v>12</v>
      </c>
      <c r="C22" s="42" t="s">
        <v>483</v>
      </c>
      <c r="D22" s="74"/>
      <c r="E22" s="74"/>
      <c r="F22" s="75"/>
      <c r="G22" s="75"/>
      <c r="H22" s="85">
        <v>0</v>
      </c>
      <c r="I22" s="85">
        <v>10000</v>
      </c>
      <c r="J22" s="86">
        <f t="shared" ref="J22:J30" si="0">I22-H22</f>
        <v>10000</v>
      </c>
      <c r="K22" s="76">
        <f t="shared" ref="K22:K30" si="1">IFERROR(J22/H22*100,0)</f>
        <v>0</v>
      </c>
      <c r="L22" s="76">
        <f t="shared" ref="L22:L30" si="2">IFERROR(I22/$I$31*100,0)</f>
        <v>100</v>
      </c>
      <c r="M22" s="76" t="s">
        <v>376</v>
      </c>
      <c r="N22" s="103">
        <v>0</v>
      </c>
      <c r="O22" s="107">
        <f t="shared" ref="O22:O30" si="3">IFERROR(N22/I22*100,)</f>
        <v>0</v>
      </c>
      <c r="P22" s="74" t="s">
        <v>394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55.5" hidden="1" customHeight="1" x14ac:dyDescent="0.4">
      <c r="A23" s="84"/>
      <c r="B23" s="74"/>
      <c r="C23" s="74"/>
      <c r="D23" s="74"/>
      <c r="E23" s="74"/>
      <c r="F23" s="75"/>
      <c r="G23" s="75"/>
      <c r="H23" s="85"/>
      <c r="I23" s="85"/>
      <c r="J23" s="86">
        <f t="shared" si="0"/>
        <v>0</v>
      </c>
      <c r="K23" s="76">
        <f t="shared" si="1"/>
        <v>0</v>
      </c>
      <c r="L23" s="76">
        <f t="shared" si="2"/>
        <v>0</v>
      </c>
      <c r="M23" s="76"/>
      <c r="N23" s="103"/>
      <c r="O23" s="107">
        <f t="shared" si="3"/>
        <v>0</v>
      </c>
      <c r="P23" s="74"/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55.5" hidden="1" customHeight="1" x14ac:dyDescent="0.4">
      <c r="A24" s="84"/>
      <c r="B24" s="74"/>
      <c r="C24" s="74"/>
      <c r="D24" s="74"/>
      <c r="E24" s="74"/>
      <c r="F24" s="75"/>
      <c r="G24" s="75"/>
      <c r="H24" s="85"/>
      <c r="I24" s="85"/>
      <c r="J24" s="86">
        <f t="shared" si="0"/>
        <v>0</v>
      </c>
      <c r="K24" s="76">
        <f t="shared" si="1"/>
        <v>0</v>
      </c>
      <c r="L24" s="76">
        <f t="shared" si="2"/>
        <v>0</v>
      </c>
      <c r="M24" s="76"/>
      <c r="N24" s="103"/>
      <c r="O24" s="107">
        <f t="shared" si="3"/>
        <v>0</v>
      </c>
      <c r="P24" s="74"/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55.5" hidden="1" customHeight="1" x14ac:dyDescent="0.4">
      <c r="A25" s="84"/>
      <c r="B25" s="74"/>
      <c r="C25" s="74"/>
      <c r="D25" s="74"/>
      <c r="E25" s="74"/>
      <c r="F25" s="75"/>
      <c r="G25" s="75"/>
      <c r="H25" s="85"/>
      <c r="I25" s="85"/>
      <c r="J25" s="86">
        <f t="shared" si="0"/>
        <v>0</v>
      </c>
      <c r="K25" s="76">
        <f t="shared" si="1"/>
        <v>0</v>
      </c>
      <c r="L25" s="76">
        <f t="shared" si="2"/>
        <v>0</v>
      </c>
      <c r="M25" s="76"/>
      <c r="N25" s="103"/>
      <c r="O25" s="107">
        <f t="shared" si="3"/>
        <v>0</v>
      </c>
      <c r="P25" s="74"/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25">
      <c r="A26" s="84"/>
      <c r="B26" s="74"/>
      <c r="C26" s="74"/>
      <c r="D26" s="74"/>
      <c r="E26" s="74"/>
      <c r="F26" s="75"/>
      <c r="G26" s="75"/>
      <c r="H26" s="85"/>
      <c r="I26" s="85"/>
      <c r="J26" s="86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85"/>
      <c r="I27" s="85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85"/>
      <c r="I28" s="85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AA28" s="16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85"/>
      <c r="I29" s="85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85"/>
      <c r="I30" s="85"/>
      <c r="J30" s="86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s="2" customFormat="1" ht="24.75" customHeight="1" x14ac:dyDescent="0.4">
      <c r="A31" s="556" t="s">
        <v>0</v>
      </c>
      <c r="B31" s="557"/>
      <c r="C31" s="557"/>
      <c r="D31" s="557"/>
      <c r="E31" s="557"/>
      <c r="F31" s="557"/>
      <c r="G31" s="558"/>
      <c r="H31" s="87">
        <f>SUM(H21:H30)</f>
        <v>0</v>
      </c>
      <c r="I31" s="87">
        <f>SUM(I21:I30)</f>
        <v>10000</v>
      </c>
      <c r="J31" s="105">
        <f>I31-H31</f>
        <v>10000</v>
      </c>
      <c r="K31" s="106">
        <f>IFERROR(J31/H31*100,0)</f>
        <v>0</v>
      </c>
      <c r="L31" s="106">
        <f>IFERROR(I31/$I$31*100,0)</f>
        <v>100</v>
      </c>
      <c r="M31" s="106"/>
      <c r="N31" s="104">
        <f>SUM(N21:N30)</f>
        <v>0</v>
      </c>
      <c r="O31" s="88">
        <f>IFERROR(N31/I31*100,)</f>
        <v>0</v>
      </c>
      <c r="P31" s="88"/>
    </row>
    <row r="32" spans="1:36" x14ac:dyDescent="0.4">
      <c r="A32" s="559" t="s">
        <v>77</v>
      </c>
      <c r="B32" s="559"/>
      <c r="C32" s="559"/>
      <c r="D32" s="559"/>
      <c r="E32" s="559"/>
      <c r="F32" s="559"/>
      <c r="G32" s="559"/>
      <c r="H32" s="559"/>
      <c r="I32" s="559"/>
      <c r="J32" s="559"/>
      <c r="K32" s="559"/>
      <c r="L32" s="559"/>
      <c r="M32" s="559"/>
      <c r="N32" s="559"/>
      <c r="O32" s="559"/>
      <c r="P32" s="559"/>
    </row>
    <row r="33" spans="1:20" ht="36" customHeight="1" x14ac:dyDescent="0.25">
      <c r="A33" s="535" t="s">
        <v>379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7"/>
    </row>
    <row r="34" spans="1:20" ht="95.25" customHeight="1" x14ac:dyDescent="0.4">
      <c r="A34" s="562"/>
      <c r="B34" s="563"/>
      <c r="C34" s="563"/>
      <c r="D34" s="563"/>
      <c r="E34" s="563"/>
      <c r="F34" s="563"/>
      <c r="G34" s="563"/>
      <c r="H34" s="563"/>
      <c r="I34" s="563"/>
      <c r="J34" s="563"/>
      <c r="K34" s="563"/>
      <c r="L34" s="563"/>
      <c r="M34" s="563"/>
      <c r="N34" s="563"/>
      <c r="O34" s="563"/>
      <c r="P34" s="564"/>
    </row>
    <row r="35" spans="1:20" ht="15" hidden="1" customHeight="1" x14ac:dyDescent="0.4">
      <c r="A35" s="565" t="s">
        <v>8</v>
      </c>
      <c r="B35" s="565"/>
      <c r="C35" s="565"/>
      <c r="D35" s="565"/>
      <c r="E35" s="565"/>
      <c r="F35" s="565"/>
      <c r="G35" s="89"/>
      <c r="H35" s="89"/>
      <c r="I35" s="89"/>
      <c r="J35" s="89"/>
      <c r="K35" s="89"/>
      <c r="L35" s="89"/>
      <c r="M35" s="89"/>
      <c r="N35" s="89"/>
      <c r="O35" s="89"/>
      <c r="P35" s="89"/>
    </row>
    <row r="36" spans="1:20" ht="15" hidden="1" customHeight="1" x14ac:dyDescent="0.4">
      <c r="A36" s="90" t="s">
        <v>12</v>
      </c>
      <c r="B36" s="566" t="s">
        <v>16</v>
      </c>
      <c r="C36" s="566"/>
      <c r="D36" s="566"/>
      <c r="E36" s="566"/>
      <c r="F36" s="566"/>
      <c r="N36" s="42"/>
      <c r="O36" s="42"/>
      <c r="P36" s="42"/>
    </row>
    <row r="37" spans="1:20" ht="15" hidden="1" customHeight="1" x14ac:dyDescent="0.4">
      <c r="A37" s="90" t="s">
        <v>13</v>
      </c>
      <c r="B37" s="566" t="s">
        <v>9</v>
      </c>
      <c r="C37" s="566"/>
      <c r="D37" s="566"/>
      <c r="E37" s="566"/>
      <c r="F37" s="566"/>
      <c r="N37" s="42"/>
      <c r="O37" s="42"/>
      <c r="P37" s="42"/>
    </row>
    <row r="38" spans="1:20" ht="15" hidden="1" customHeight="1" x14ac:dyDescent="0.4">
      <c r="A38" s="90" t="s">
        <v>14</v>
      </c>
      <c r="B38" s="566" t="s">
        <v>10</v>
      </c>
      <c r="C38" s="566"/>
      <c r="D38" s="566"/>
      <c r="E38" s="566"/>
      <c r="F38" s="566"/>
      <c r="N38" s="42"/>
      <c r="O38" s="42"/>
      <c r="P38" s="42"/>
    </row>
    <row r="39" spans="1:20" ht="15" hidden="1" customHeight="1" x14ac:dyDescent="0.4">
      <c r="A39" s="90" t="s">
        <v>15</v>
      </c>
      <c r="B39" s="566" t="s">
        <v>11</v>
      </c>
      <c r="C39" s="566"/>
      <c r="D39" s="566"/>
      <c r="E39" s="566"/>
      <c r="F39" s="566"/>
      <c r="N39" s="42"/>
      <c r="O39" s="42"/>
      <c r="P39" s="42"/>
    </row>
    <row r="40" spans="1:20" ht="35.25" customHeight="1" x14ac:dyDescent="0.4"/>
    <row r="41" spans="1:20" ht="60" customHeight="1" x14ac:dyDescent="0.25">
      <c r="A41" s="535" t="s">
        <v>385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7"/>
      <c r="Q41" s="133"/>
      <c r="R41" s="133"/>
      <c r="S41" s="133"/>
      <c r="T41" s="187"/>
    </row>
    <row r="42" spans="1:20" ht="26.25" customHeight="1" x14ac:dyDescent="0.25">
      <c r="A42" s="560" t="s">
        <v>389</v>
      </c>
      <c r="B42" s="560"/>
      <c r="C42" s="560"/>
      <c r="D42" s="560"/>
      <c r="E42" s="560"/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</row>
    <row r="43" spans="1:20" ht="26.25" customHeight="1" x14ac:dyDescent="0.25">
      <c r="A43" s="561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</row>
    <row r="44" spans="1:20" ht="26.25" customHeight="1" x14ac:dyDescent="0.25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</row>
    <row r="45" spans="1:20" ht="26.25" customHeight="1" x14ac:dyDescent="0.25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</row>
    <row r="46" spans="1:20" ht="26.25" customHeight="1" x14ac:dyDescent="0.25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20" ht="26.25" customHeight="1" x14ac:dyDescent="0.2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20" ht="26.25" customHeight="1" x14ac:dyDescent="0.25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</row>
    <row r="49" spans="1:16" ht="26.25" customHeight="1" x14ac:dyDescent="0.25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</row>
    <row r="50" spans="1:16" ht="26.25" customHeight="1" x14ac:dyDescent="0.25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</row>
    <row r="51" spans="1:16" ht="26.25" customHeight="1" x14ac:dyDescent="0.25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</row>
    <row r="52" spans="1:16" ht="26.25" customHeight="1" x14ac:dyDescent="0.25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</row>
    <row r="53" spans="1:16" ht="26.25" customHeight="1" x14ac:dyDescent="0.25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ht="26.25" customHeight="1" x14ac:dyDescent="0.25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</row>
    <row r="55" spans="1:16" ht="26.25" customHeight="1" x14ac:dyDescent="0.25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</row>
    <row r="56" spans="1:16" ht="26.25" customHeight="1" x14ac:dyDescent="0.25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</row>
    <row r="57" spans="1:16" ht="26.25" customHeight="1" x14ac:dyDescent="0.25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</row>
    <row r="58" spans="1:16" ht="26.25" customHeight="1" x14ac:dyDescent="0.25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</row>
    <row r="59" spans="1:16" ht="26.25" customHeight="1" x14ac:dyDescent="0.25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</row>
    <row r="60" spans="1:16" ht="26.25" customHeight="1" x14ac:dyDescent="0.25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</row>
    <row r="61" spans="1:16" ht="26.25" customHeight="1" x14ac:dyDescent="0.25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</row>
    <row r="62" spans="1:16" ht="26.25" customHeight="1" x14ac:dyDescent="0.2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</row>
    <row r="63" spans="1:16" ht="26.25" customHeight="1" x14ac:dyDescent="0.2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</row>
    <row r="64" spans="1:16" ht="26.25" customHeight="1" x14ac:dyDescent="0.25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</row>
    <row r="65" spans="1:16" ht="26.25" customHeight="1" x14ac:dyDescent="0.25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ht="26.25" customHeight="1" x14ac:dyDescent="0.25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</row>
    <row r="67" spans="1:16" ht="26.25" customHeight="1" x14ac:dyDescent="0.25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</row>
    <row r="68" spans="1:16" ht="26.25" customHeight="1" x14ac:dyDescent="0.25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</row>
    <row r="69" spans="1:16" ht="26.25" customHeight="1" x14ac:dyDescent="0.25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</row>
    <row r="70" spans="1:16" ht="26.25" customHeight="1" x14ac:dyDescent="0.25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</row>
    <row r="71" spans="1:16" ht="26.25" customHeight="1" x14ac:dyDescent="0.25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</row>
    <row r="72" spans="1:16" ht="26.25" customHeight="1" x14ac:dyDescent="0.25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</row>
    <row r="73" spans="1:16" ht="26.25" customHeight="1" x14ac:dyDescent="0.25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ht="26.25" customHeight="1" x14ac:dyDescent="0.25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ht="26.25" customHeight="1" x14ac:dyDescent="0.25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</row>
    <row r="76" spans="1:16" ht="26.25" customHeight="1" x14ac:dyDescent="0.25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ht="1.5" customHeight="1" x14ac:dyDescent="0.25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</row>
    <row r="78" spans="1:16" ht="26.25" hidden="1" customHeight="1" x14ac:dyDescent="0.25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</row>
    <row r="79" spans="1:16" ht="26.25" hidden="1" customHeight="1" x14ac:dyDescent="0.25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</row>
    <row r="80" spans="1:16" ht="26.25" hidden="1" customHeight="1" x14ac:dyDescent="0.25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</row>
    <row r="81" spans="1:16" ht="26.25" hidden="1" customHeight="1" x14ac:dyDescent="0.25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</row>
    <row r="82" spans="1:16" ht="26.25" hidden="1" customHeight="1" x14ac:dyDescent="0.25">
      <c r="A82" s="561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1:16" ht="26.25" hidden="1" customHeight="1" x14ac:dyDescent="0.25">
      <c r="A83" s="561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ht="26.25" hidden="1" customHeight="1" x14ac:dyDescent="0.25">
      <c r="A84" s="561"/>
      <c r="B84" s="561"/>
      <c r="C84" s="561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</row>
    <row r="85" spans="1:16" ht="26.25" hidden="1" customHeight="1" x14ac:dyDescent="0.25">
      <c r="A85" s="561"/>
      <c r="B85" s="561"/>
      <c r="C85" s="561"/>
      <c r="D85" s="561"/>
      <c r="E85" s="561"/>
      <c r="F85" s="561"/>
      <c r="G85" s="561"/>
      <c r="H85" s="561"/>
      <c r="I85" s="561"/>
      <c r="J85" s="561"/>
      <c r="K85" s="561"/>
      <c r="L85" s="561"/>
      <c r="M85" s="561"/>
      <c r="N85" s="561"/>
      <c r="O85" s="561"/>
      <c r="P85" s="561"/>
    </row>
    <row r="86" spans="1:16" ht="26.25" hidden="1" customHeight="1" x14ac:dyDescent="0.25">
      <c r="A86" s="561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ht="26.25" hidden="1" customHeight="1" x14ac:dyDescent="0.25">
      <c r="A87" s="561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</row>
    <row r="88" spans="1:16" ht="26.25" hidden="1" customHeight="1" x14ac:dyDescent="0.25">
      <c r="A88" s="561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</row>
    <row r="89" spans="1:16" ht="26.25" hidden="1" customHeight="1" x14ac:dyDescent="0.25">
      <c r="A89" s="561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</row>
    <row r="90" spans="1:16" ht="225.75" customHeight="1" x14ac:dyDescent="0.25">
      <c r="A90" s="561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</row>
  </sheetData>
  <sheetProtection formatCells="0" formatRows="0" insertRows="0" deleteRows="0"/>
  <mergeCells count="52">
    <mergeCell ref="A42:P90"/>
    <mergeCell ref="A34:P34"/>
    <mergeCell ref="A35:F35"/>
    <mergeCell ref="B36:F36"/>
    <mergeCell ref="B37:F37"/>
    <mergeCell ref="B38:F38"/>
    <mergeCell ref="B39:F39"/>
    <mergeCell ref="O19:O20"/>
    <mergeCell ref="Q21:W21"/>
    <mergeCell ref="A31:G31"/>
    <mergeCell ref="A32:P32"/>
    <mergeCell ref="A41:P41"/>
    <mergeCell ref="A33:P33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M21:M30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D22:D30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topLeftCell="F10" zoomScale="59" zoomScaleNormal="59" workbookViewId="0">
      <selection activeCell="G4" sqref="A4:XFD4"/>
    </sheetView>
  </sheetViews>
  <sheetFormatPr defaultRowHeight="64.5" x14ac:dyDescent="0.95"/>
  <cols>
    <col min="2" max="2" width="94.85546875" bestFit="1" customWidth="1"/>
    <col min="5" max="5" width="39.5703125" customWidth="1"/>
    <col min="6" max="6" width="59.5703125" customWidth="1"/>
    <col min="14" max="14" width="97.28515625" customWidth="1"/>
    <col min="17" max="17" width="132.85546875" style="189" bestFit="1" customWidth="1"/>
  </cols>
  <sheetData>
    <row r="1" spans="1:17" x14ac:dyDescent="0.95">
      <c r="A1" s="161"/>
      <c r="B1" s="162" t="s">
        <v>255</v>
      </c>
      <c r="C1" s="156"/>
      <c r="D1" s="156"/>
      <c r="E1" s="156"/>
      <c r="F1" s="130" t="s">
        <v>92</v>
      </c>
      <c r="G1" s="156"/>
      <c r="H1" s="161"/>
      <c r="I1" s="161"/>
      <c r="N1" s="178" t="s">
        <v>367</v>
      </c>
      <c r="Q1" s="189" t="s">
        <v>40</v>
      </c>
    </row>
    <row r="2" spans="1:17" x14ac:dyDescent="0.95">
      <c r="A2" s="161"/>
      <c r="B2" s="162" t="s">
        <v>263</v>
      </c>
      <c r="C2" s="156"/>
      <c r="D2" s="156"/>
      <c r="E2" s="156"/>
      <c r="F2" s="130" t="s">
        <v>64</v>
      </c>
      <c r="G2" s="156"/>
      <c r="H2" s="161"/>
      <c r="I2" s="161"/>
      <c r="N2" s="178" t="s">
        <v>368</v>
      </c>
      <c r="Q2" s="189" t="s">
        <v>371</v>
      </c>
    </row>
    <row r="3" spans="1:17" x14ac:dyDescent="0.95">
      <c r="A3" s="161"/>
      <c r="B3" s="162" t="s">
        <v>264</v>
      </c>
      <c r="C3" s="156"/>
      <c r="D3" s="156"/>
      <c r="E3" s="156"/>
      <c r="F3" s="477" t="s">
        <v>59</v>
      </c>
      <c r="G3" s="156"/>
      <c r="H3" s="161"/>
      <c r="I3" s="161"/>
      <c r="N3" s="178" t="s">
        <v>305</v>
      </c>
      <c r="Q3" s="189" t="s">
        <v>41</v>
      </c>
    </row>
    <row r="4" spans="1:17" x14ac:dyDescent="0.95">
      <c r="A4" s="161"/>
      <c r="B4" s="162"/>
      <c r="C4" s="156"/>
      <c r="D4" s="156"/>
      <c r="E4" s="156"/>
      <c r="F4" s="477"/>
      <c r="G4" s="156"/>
      <c r="H4" s="161"/>
      <c r="I4" s="161"/>
      <c r="N4" s="178" t="s">
        <v>307</v>
      </c>
      <c r="Q4" s="189" t="s">
        <v>301</v>
      </c>
    </row>
    <row r="5" spans="1:17" x14ac:dyDescent="0.95">
      <c r="A5" s="161"/>
      <c r="B5" s="162" t="s">
        <v>265</v>
      </c>
      <c r="C5" s="156"/>
      <c r="D5" s="156"/>
      <c r="E5" s="156"/>
      <c r="F5" s="163" t="s">
        <v>345</v>
      </c>
      <c r="G5" s="163"/>
      <c r="H5" s="163"/>
      <c r="I5" s="163"/>
      <c r="J5" s="163"/>
      <c r="N5" s="179" t="s">
        <v>309</v>
      </c>
      <c r="Q5" s="189" t="s">
        <v>43</v>
      </c>
    </row>
    <row r="6" spans="1:17" ht="236.25" customHeight="1" x14ac:dyDescent="0.95">
      <c r="A6" s="161"/>
      <c r="B6" s="162" t="s">
        <v>256</v>
      </c>
      <c r="C6" s="156"/>
      <c r="D6" s="156"/>
      <c r="E6" s="156"/>
      <c r="F6" s="163" t="s">
        <v>346</v>
      </c>
      <c r="G6" s="156"/>
      <c r="H6" s="161"/>
      <c r="I6" s="161"/>
      <c r="N6" s="179" t="s">
        <v>311</v>
      </c>
      <c r="Q6" s="189" t="s">
        <v>326</v>
      </c>
    </row>
    <row r="7" spans="1:17" x14ac:dyDescent="0.95">
      <c r="A7" s="161"/>
      <c r="B7" s="162" t="s">
        <v>266</v>
      </c>
      <c r="C7" s="156"/>
      <c r="D7" s="156"/>
      <c r="E7" s="156"/>
      <c r="F7" s="163" t="s">
        <v>347</v>
      </c>
      <c r="G7" s="156"/>
      <c r="H7" s="161"/>
      <c r="I7" s="161"/>
      <c r="N7" s="179" t="s">
        <v>313</v>
      </c>
      <c r="Q7" s="189" t="s">
        <v>372</v>
      </c>
    </row>
    <row r="8" spans="1:17" x14ac:dyDescent="0.95">
      <c r="A8" s="161"/>
      <c r="B8" s="162" t="s">
        <v>291</v>
      </c>
      <c r="C8" s="156"/>
      <c r="D8" s="156"/>
      <c r="E8" s="156"/>
      <c r="F8" s="163" t="s">
        <v>348</v>
      </c>
      <c r="G8" s="156"/>
      <c r="H8" s="161"/>
      <c r="I8" s="161"/>
      <c r="N8" s="178" t="s">
        <v>316</v>
      </c>
      <c r="Q8" s="189" t="s">
        <v>315</v>
      </c>
    </row>
    <row r="9" spans="1:17" x14ac:dyDescent="0.95">
      <c r="A9" s="161"/>
      <c r="B9" s="162" t="s">
        <v>257</v>
      </c>
      <c r="C9" s="156"/>
      <c r="D9" s="156"/>
      <c r="E9" s="156"/>
      <c r="F9" s="163" t="s">
        <v>349</v>
      </c>
      <c r="G9" s="156"/>
      <c r="H9" s="161"/>
      <c r="I9" s="161"/>
      <c r="N9" s="178" t="s">
        <v>318</v>
      </c>
      <c r="Q9" s="189" t="s">
        <v>46</v>
      </c>
    </row>
    <row r="10" spans="1:17" x14ac:dyDescent="0.95">
      <c r="A10" s="161"/>
      <c r="B10" s="162" t="s">
        <v>267</v>
      </c>
      <c r="C10" s="156"/>
      <c r="D10" s="156"/>
      <c r="E10" s="156"/>
      <c r="F10" s="184" t="s">
        <v>376</v>
      </c>
      <c r="G10" s="156"/>
      <c r="H10" s="161"/>
      <c r="I10" s="161"/>
      <c r="N10" s="179" t="s">
        <v>320</v>
      </c>
      <c r="Q10" s="189" t="s">
        <v>47</v>
      </c>
    </row>
    <row r="11" spans="1:17" x14ac:dyDescent="0.95">
      <c r="A11" s="161"/>
      <c r="B11" s="162" t="s">
        <v>258</v>
      </c>
      <c r="C11" s="156"/>
      <c r="D11" s="156"/>
      <c r="E11" s="156"/>
      <c r="F11" s="156" t="s">
        <v>61</v>
      </c>
      <c r="G11" s="156"/>
      <c r="H11" s="161"/>
      <c r="I11" s="161"/>
      <c r="N11" s="178" t="s">
        <v>322</v>
      </c>
      <c r="Q11" s="189" t="s">
        <v>48</v>
      </c>
    </row>
    <row r="12" spans="1:17" x14ac:dyDescent="0.95">
      <c r="A12" s="161"/>
      <c r="B12" s="162" t="s">
        <v>259</v>
      </c>
      <c r="C12" s="156"/>
      <c r="D12" s="156"/>
      <c r="E12" s="156"/>
      <c r="F12" s="156" t="s">
        <v>6</v>
      </c>
      <c r="G12" s="156"/>
      <c r="H12" s="161"/>
      <c r="I12" s="161"/>
      <c r="N12" s="178" t="s">
        <v>324</v>
      </c>
      <c r="Q12" s="189" t="s">
        <v>49</v>
      </c>
    </row>
    <row r="13" spans="1:17" x14ac:dyDescent="0.95">
      <c r="A13" s="161"/>
      <c r="B13" s="162" t="s">
        <v>268</v>
      </c>
      <c r="C13" s="156"/>
      <c r="D13" s="156"/>
      <c r="E13" s="156"/>
      <c r="F13" s="156"/>
      <c r="G13" s="156"/>
      <c r="H13" s="161"/>
      <c r="I13" s="161"/>
      <c r="N13" s="179" t="s">
        <v>327</v>
      </c>
      <c r="Q13" s="189" t="s">
        <v>50</v>
      </c>
    </row>
    <row r="14" spans="1:17" x14ac:dyDescent="0.95">
      <c r="A14" s="161"/>
      <c r="B14" s="162" t="s">
        <v>269</v>
      </c>
      <c r="C14" s="156"/>
      <c r="D14" s="156"/>
      <c r="E14" s="156"/>
      <c r="F14" s="156"/>
      <c r="G14" s="156"/>
      <c r="H14" s="161"/>
      <c r="I14" s="161"/>
      <c r="N14" s="179" t="s">
        <v>329</v>
      </c>
      <c r="Q14" s="189" t="s">
        <v>51</v>
      </c>
    </row>
    <row r="15" spans="1:17" ht="110.25" customHeight="1" x14ac:dyDescent="0.95">
      <c r="A15" s="161"/>
      <c r="B15" s="162" t="s">
        <v>260</v>
      </c>
      <c r="C15" s="156"/>
      <c r="D15" s="156"/>
      <c r="E15" s="156"/>
      <c r="F15" s="156"/>
      <c r="G15" s="156"/>
      <c r="H15" s="161"/>
      <c r="I15" s="161"/>
      <c r="N15" s="178" t="s">
        <v>331</v>
      </c>
      <c r="Q15" s="189" t="s">
        <v>52</v>
      </c>
    </row>
    <row r="16" spans="1:17" x14ac:dyDescent="0.95">
      <c r="A16" s="161"/>
      <c r="B16" s="162" t="s">
        <v>270</v>
      </c>
      <c r="C16" s="156"/>
      <c r="D16" s="156"/>
      <c r="E16" s="156"/>
      <c r="F16" s="156"/>
      <c r="G16" s="156"/>
      <c r="H16" s="161"/>
      <c r="I16" s="161"/>
      <c r="N16" s="178" t="s">
        <v>333</v>
      </c>
      <c r="Q16" s="189" t="s">
        <v>53</v>
      </c>
    </row>
    <row r="17" spans="1:14" x14ac:dyDescent="0.95">
      <c r="A17" s="161"/>
      <c r="B17" s="162" t="s">
        <v>261</v>
      </c>
      <c r="C17" s="156"/>
      <c r="D17" s="156"/>
      <c r="E17" s="156"/>
      <c r="F17" s="156"/>
      <c r="G17" s="156"/>
      <c r="H17" s="161"/>
      <c r="I17" s="161"/>
      <c r="N17" s="178" t="s">
        <v>335</v>
      </c>
    </row>
    <row r="18" spans="1:14" x14ac:dyDescent="0.95">
      <c r="A18" s="161"/>
      <c r="B18" s="162" t="s">
        <v>262</v>
      </c>
      <c r="C18" s="156"/>
      <c r="D18" s="156"/>
      <c r="E18" s="156"/>
      <c r="F18" s="156"/>
      <c r="G18" s="156"/>
      <c r="H18" s="161"/>
      <c r="I18" s="161"/>
      <c r="N18" s="179" t="s">
        <v>337</v>
      </c>
    </row>
    <row r="19" spans="1:14" x14ac:dyDescent="0.95">
      <c r="N19" s="179" t="s">
        <v>339</v>
      </c>
    </row>
    <row r="20" spans="1:14" x14ac:dyDescent="0.95">
      <c r="N20" s="179" t="s">
        <v>341</v>
      </c>
    </row>
    <row r="21" spans="1:14" x14ac:dyDescent="0.95">
      <c r="N21" s="179" t="s">
        <v>343</v>
      </c>
    </row>
  </sheetData>
  <mergeCells count="1">
    <mergeCell ref="F3:F4"/>
  </mergeCells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showGridLines="0" topLeftCell="A28" zoomScale="80" zoomScaleNormal="80" workbookViewId="0">
      <selection activeCell="C4" sqref="C4"/>
    </sheetView>
  </sheetViews>
  <sheetFormatPr defaultRowHeight="21" x14ac:dyDescent="0.35"/>
  <cols>
    <col min="1" max="1" width="39.28515625" style="173" customWidth="1"/>
    <col min="2" max="2" width="17.5703125" style="173" customWidth="1"/>
    <col min="3" max="4" width="54.7109375" style="173" customWidth="1"/>
    <col min="8" max="8" width="50.28515625" customWidth="1"/>
  </cols>
  <sheetData>
    <row r="1" spans="1:8" x14ac:dyDescent="0.25">
      <c r="A1" s="167" t="s">
        <v>297</v>
      </c>
      <c r="B1" s="167" t="s">
        <v>298</v>
      </c>
      <c r="C1" s="167" t="s">
        <v>299</v>
      </c>
      <c r="D1" s="167" t="s">
        <v>300</v>
      </c>
    </row>
    <row r="2" spans="1:8" ht="120" customHeight="1" x14ac:dyDescent="0.25">
      <c r="A2" s="580" t="s">
        <v>301</v>
      </c>
      <c r="B2" s="168" t="s">
        <v>302</v>
      </c>
      <c r="C2" s="169" t="s">
        <v>303</v>
      </c>
      <c r="D2" s="169" t="s">
        <v>304</v>
      </c>
      <c r="H2" s="180" t="s">
        <v>369</v>
      </c>
    </row>
    <row r="3" spans="1:8" ht="120" customHeight="1" x14ac:dyDescent="0.25">
      <c r="A3" s="581"/>
      <c r="B3" s="168" t="s">
        <v>302</v>
      </c>
      <c r="C3" s="169" t="s">
        <v>305</v>
      </c>
      <c r="D3" s="169" t="s">
        <v>306</v>
      </c>
    </row>
    <row r="4" spans="1:8" ht="120" customHeight="1" x14ac:dyDescent="0.25">
      <c r="A4" s="582"/>
      <c r="B4" s="168" t="s">
        <v>302</v>
      </c>
      <c r="C4" s="169" t="s">
        <v>307</v>
      </c>
      <c r="D4" s="169" t="s">
        <v>308</v>
      </c>
    </row>
    <row r="5" spans="1:8" ht="120" customHeight="1" x14ac:dyDescent="0.25">
      <c r="A5" s="577" t="s">
        <v>46</v>
      </c>
      <c r="B5" s="170" t="s">
        <v>302</v>
      </c>
      <c r="C5" s="171" t="s">
        <v>309</v>
      </c>
      <c r="D5" s="171" t="s">
        <v>310</v>
      </c>
    </row>
    <row r="6" spans="1:8" ht="120" customHeight="1" x14ac:dyDescent="0.25">
      <c r="A6" s="578"/>
      <c r="B6" s="170" t="s">
        <v>302</v>
      </c>
      <c r="C6" s="171" t="s">
        <v>311</v>
      </c>
      <c r="D6" s="171" t="s">
        <v>312</v>
      </c>
    </row>
    <row r="7" spans="1:8" ht="120" customHeight="1" x14ac:dyDescent="0.25">
      <c r="A7" s="579"/>
      <c r="B7" s="170" t="s">
        <v>302</v>
      </c>
      <c r="C7" s="171" t="s">
        <v>313</v>
      </c>
      <c r="D7" s="171" t="s">
        <v>314</v>
      </c>
    </row>
    <row r="8" spans="1:8" ht="120" customHeight="1" x14ac:dyDescent="0.25">
      <c r="A8" s="574" t="s">
        <v>315</v>
      </c>
      <c r="B8" s="168" t="s">
        <v>302</v>
      </c>
      <c r="C8" s="169" t="s">
        <v>316</v>
      </c>
      <c r="D8" s="169" t="s">
        <v>317</v>
      </c>
    </row>
    <row r="9" spans="1:8" ht="120" customHeight="1" x14ac:dyDescent="0.25">
      <c r="A9" s="576"/>
      <c r="B9" s="168" t="s">
        <v>302</v>
      </c>
      <c r="C9" s="169" t="s">
        <v>318</v>
      </c>
      <c r="D9" s="169" t="s">
        <v>319</v>
      </c>
    </row>
    <row r="10" spans="1:8" ht="120" customHeight="1" x14ac:dyDescent="0.25">
      <c r="A10" s="172" t="s">
        <v>43</v>
      </c>
      <c r="B10" s="170" t="s">
        <v>302</v>
      </c>
      <c r="C10" s="171" t="s">
        <v>320</v>
      </c>
      <c r="D10" s="171" t="s">
        <v>321</v>
      </c>
    </row>
    <row r="11" spans="1:8" ht="120" customHeight="1" x14ac:dyDescent="0.25">
      <c r="A11" s="580" t="s">
        <v>48</v>
      </c>
      <c r="B11" s="168" t="s">
        <v>302</v>
      </c>
      <c r="C11" s="169" t="s">
        <v>322</v>
      </c>
      <c r="D11" s="169" t="s">
        <v>323</v>
      </c>
    </row>
    <row r="12" spans="1:8" ht="120" customHeight="1" x14ac:dyDescent="0.25">
      <c r="A12" s="582"/>
      <c r="B12" s="168" t="s">
        <v>302</v>
      </c>
      <c r="C12" s="169" t="s">
        <v>324</v>
      </c>
      <c r="D12" s="169" t="s">
        <v>325</v>
      </c>
    </row>
    <row r="13" spans="1:8" ht="120" customHeight="1" x14ac:dyDescent="0.25">
      <c r="A13" s="583" t="s">
        <v>326</v>
      </c>
      <c r="B13" s="170" t="s">
        <v>302</v>
      </c>
      <c r="C13" s="171" t="s">
        <v>327</v>
      </c>
      <c r="D13" s="171" t="s">
        <v>328</v>
      </c>
    </row>
    <row r="14" spans="1:8" ht="120" customHeight="1" x14ac:dyDescent="0.25">
      <c r="A14" s="584"/>
      <c r="B14" s="170" t="s">
        <v>302</v>
      </c>
      <c r="C14" s="171" t="s">
        <v>329</v>
      </c>
      <c r="D14" s="171" t="s">
        <v>330</v>
      </c>
    </row>
    <row r="15" spans="1:8" ht="120" customHeight="1" x14ac:dyDescent="0.25">
      <c r="A15" s="574" t="s">
        <v>47</v>
      </c>
      <c r="B15" s="168" t="s">
        <v>302</v>
      </c>
      <c r="C15" s="169" t="s">
        <v>331</v>
      </c>
      <c r="D15" s="169" t="s">
        <v>332</v>
      </c>
    </row>
    <row r="16" spans="1:8" ht="120" customHeight="1" x14ac:dyDescent="0.25">
      <c r="A16" s="575"/>
      <c r="B16" s="168" t="s">
        <v>302</v>
      </c>
      <c r="C16" s="169" t="s">
        <v>333</v>
      </c>
      <c r="D16" s="169" t="s">
        <v>334</v>
      </c>
    </row>
    <row r="17" spans="1:4" ht="120" customHeight="1" x14ac:dyDescent="0.25">
      <c r="A17" s="576"/>
      <c r="B17" s="168" t="s">
        <v>302</v>
      </c>
      <c r="C17" s="169" t="s">
        <v>335</v>
      </c>
      <c r="D17" s="169" t="s">
        <v>336</v>
      </c>
    </row>
    <row r="18" spans="1:4" ht="120" customHeight="1" x14ac:dyDescent="0.25">
      <c r="A18" s="577" t="s">
        <v>41</v>
      </c>
      <c r="B18" s="170" t="s">
        <v>302</v>
      </c>
      <c r="C18" s="171" t="s">
        <v>337</v>
      </c>
      <c r="D18" s="171" t="s">
        <v>338</v>
      </c>
    </row>
    <row r="19" spans="1:4" ht="120" customHeight="1" x14ac:dyDescent="0.25">
      <c r="A19" s="578"/>
      <c r="B19" s="170" t="s">
        <v>302</v>
      </c>
      <c r="C19" s="171" t="s">
        <v>339</v>
      </c>
      <c r="D19" s="171" t="s">
        <v>340</v>
      </c>
    </row>
    <row r="20" spans="1:4" ht="120" customHeight="1" x14ac:dyDescent="0.25">
      <c r="A20" s="578"/>
      <c r="B20" s="170" t="s">
        <v>302</v>
      </c>
      <c r="C20" s="171" t="s">
        <v>341</v>
      </c>
      <c r="D20" s="171" t="s">
        <v>342</v>
      </c>
    </row>
    <row r="21" spans="1:4" ht="120" customHeight="1" x14ac:dyDescent="0.25">
      <c r="A21" s="579"/>
      <c r="B21" s="170" t="s">
        <v>302</v>
      </c>
      <c r="C21" s="171" t="s">
        <v>343</v>
      </c>
      <c r="D21" s="171" t="s">
        <v>344</v>
      </c>
    </row>
  </sheetData>
  <mergeCells count="7">
    <mergeCell ref="A15:A17"/>
    <mergeCell ref="A18:A21"/>
    <mergeCell ref="A2:A4"/>
    <mergeCell ref="A5:A7"/>
    <mergeCell ref="A8:A9"/>
    <mergeCell ref="A11:A12"/>
    <mergeCell ref="A13:A14"/>
  </mergeCells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K83"/>
  <sheetViews>
    <sheetView showGridLines="0" topLeftCell="A29" zoomScale="40" zoomScaleNormal="40" workbookViewId="0">
      <selection activeCell="A40" sqref="A40"/>
    </sheetView>
  </sheetViews>
  <sheetFormatPr defaultRowHeight="15" x14ac:dyDescent="0.25"/>
  <cols>
    <col min="1" max="1" width="122.28515625" customWidth="1"/>
    <col min="2" max="2" width="115.7109375" style="10" customWidth="1"/>
    <col min="3" max="3" width="21.140625" customWidth="1"/>
    <col min="4" max="4" width="39.42578125" style="10" customWidth="1"/>
    <col min="5" max="5" width="34" style="207" customWidth="1"/>
    <col min="6" max="6" width="34" style="213" customWidth="1"/>
    <col min="7" max="7" width="30" customWidth="1"/>
    <col min="10" max="10" width="31.140625" customWidth="1"/>
  </cols>
  <sheetData>
    <row r="1" spans="1:11" ht="63" customHeight="1" x14ac:dyDescent="0.35">
      <c r="A1" s="131"/>
      <c r="B1" s="132"/>
      <c r="C1" s="132"/>
      <c r="D1" s="132"/>
      <c r="E1" s="203"/>
      <c r="F1" s="208"/>
    </row>
    <row r="2" spans="1:11" ht="74.25" customHeight="1" x14ac:dyDescent="0.25">
      <c r="A2" s="392" t="s">
        <v>117</v>
      </c>
      <c r="B2" s="393"/>
      <c r="C2" s="393"/>
      <c r="D2" s="393"/>
      <c r="E2" s="393"/>
      <c r="F2" s="393"/>
    </row>
    <row r="3" spans="1:11" ht="42" customHeight="1" x14ac:dyDescent="0.25">
      <c r="A3" s="394" t="s">
        <v>391</v>
      </c>
      <c r="B3" s="395"/>
      <c r="C3" s="395"/>
      <c r="D3" s="395"/>
      <c r="E3" s="395"/>
      <c r="F3" s="395"/>
    </row>
    <row r="4" spans="1:11" ht="51" customHeight="1" x14ac:dyDescent="0.25">
      <c r="A4" s="394" t="s">
        <v>54</v>
      </c>
      <c r="B4" s="395"/>
      <c r="C4" s="395"/>
      <c r="D4" s="395"/>
      <c r="E4" s="395"/>
      <c r="F4" s="395"/>
    </row>
    <row r="5" spans="1:11" ht="26.25" x14ac:dyDescent="0.25">
      <c r="A5" s="77"/>
      <c r="B5" s="133"/>
      <c r="C5" s="78"/>
      <c r="D5" s="133"/>
      <c r="E5" s="204"/>
      <c r="F5" s="209"/>
    </row>
    <row r="6" spans="1:11" ht="26.25" x14ac:dyDescent="0.25">
      <c r="A6" s="396" t="s">
        <v>83</v>
      </c>
      <c r="B6" s="397"/>
      <c r="C6" s="397"/>
      <c r="D6" s="397"/>
      <c r="E6" s="397"/>
      <c r="F6" s="397"/>
    </row>
    <row r="7" spans="1:11" ht="26.25" x14ac:dyDescent="0.4">
      <c r="A7" s="92"/>
      <c r="B7" s="93"/>
      <c r="C7" s="93"/>
      <c r="D7" s="93"/>
      <c r="E7" s="204"/>
      <c r="F7" s="209"/>
    </row>
    <row r="8" spans="1:11" ht="81" hidden="1" customHeight="1" x14ac:dyDescent="0.25">
      <c r="A8" s="134" t="s">
        <v>40</v>
      </c>
      <c r="B8" s="346" t="s">
        <v>80</v>
      </c>
      <c r="C8" s="347"/>
      <c r="D8" s="135" t="s">
        <v>81</v>
      </c>
      <c r="E8" s="135" t="s">
        <v>155</v>
      </c>
      <c r="F8" s="135" t="s">
        <v>244</v>
      </c>
    </row>
    <row r="9" spans="1:11" ht="87.75" hidden="1" customHeight="1" x14ac:dyDescent="0.4">
      <c r="A9" s="398" t="s">
        <v>156</v>
      </c>
      <c r="B9" s="136" t="s">
        <v>157</v>
      </c>
      <c r="C9" s="390" t="s">
        <v>158</v>
      </c>
      <c r="D9" s="343" t="s">
        <v>127</v>
      </c>
      <c r="E9" s="344"/>
      <c r="F9" s="344"/>
    </row>
    <row r="10" spans="1:11" ht="91.5" hidden="1" customHeight="1" x14ac:dyDescent="0.25">
      <c r="A10" s="398"/>
      <c r="B10" s="137" t="s">
        <v>159</v>
      </c>
      <c r="C10" s="391"/>
      <c r="D10" s="343"/>
      <c r="E10" s="345"/>
      <c r="F10" s="345"/>
    </row>
    <row r="11" spans="1:11" ht="127.5" customHeight="1" x14ac:dyDescent="0.25">
      <c r="A11" s="403" t="s">
        <v>82</v>
      </c>
      <c r="B11" s="404"/>
      <c r="C11" s="404"/>
      <c r="D11" s="404"/>
      <c r="E11" s="404"/>
      <c r="F11" s="405"/>
    </row>
    <row r="12" spans="1:11" ht="78.75" customHeight="1" x14ac:dyDescent="0.25">
      <c r="A12" s="94" t="s">
        <v>41</v>
      </c>
      <c r="B12" s="374" t="s">
        <v>80</v>
      </c>
      <c r="C12" s="375"/>
      <c r="D12" s="91" t="s">
        <v>81</v>
      </c>
      <c r="E12" s="91" t="s">
        <v>155</v>
      </c>
      <c r="F12" s="91" t="s">
        <v>244</v>
      </c>
      <c r="G12" s="340" t="s">
        <v>350</v>
      </c>
      <c r="H12" s="340"/>
      <c r="I12" s="340"/>
      <c r="J12" s="340"/>
      <c r="K12" s="340"/>
    </row>
    <row r="13" spans="1:11" ht="64.5" customHeight="1" x14ac:dyDescent="0.4">
      <c r="A13" s="406" t="s">
        <v>160</v>
      </c>
      <c r="B13" s="138" t="s">
        <v>161</v>
      </c>
      <c r="C13" s="390" t="s">
        <v>158</v>
      </c>
      <c r="D13" s="343" t="s">
        <v>128</v>
      </c>
      <c r="E13" s="359">
        <v>0.15</v>
      </c>
      <c r="F13" s="359">
        <v>0.8</v>
      </c>
      <c r="G13" s="9"/>
    </row>
    <row r="14" spans="1:11" ht="64.5" customHeight="1" x14ac:dyDescent="0.25">
      <c r="A14" s="407"/>
      <c r="B14" s="137" t="s">
        <v>162</v>
      </c>
      <c r="C14" s="391"/>
      <c r="D14" s="343"/>
      <c r="E14" s="360"/>
      <c r="F14" s="360"/>
      <c r="G14" s="9"/>
    </row>
    <row r="15" spans="1:11" ht="64.5" customHeight="1" x14ac:dyDescent="0.4">
      <c r="A15" s="391" t="s">
        <v>129</v>
      </c>
      <c r="B15" s="138" t="s">
        <v>163</v>
      </c>
      <c r="C15" s="390" t="s">
        <v>158</v>
      </c>
      <c r="D15" s="343" t="s">
        <v>128</v>
      </c>
      <c r="E15" s="359">
        <v>0.6</v>
      </c>
      <c r="F15" s="359">
        <v>0.6</v>
      </c>
      <c r="G15" s="9"/>
    </row>
    <row r="16" spans="1:11" ht="64.5" customHeight="1" x14ac:dyDescent="0.25">
      <c r="A16" s="342"/>
      <c r="B16" s="137" t="s">
        <v>164</v>
      </c>
      <c r="C16" s="391"/>
      <c r="D16" s="343"/>
      <c r="E16" s="360"/>
      <c r="F16" s="360"/>
      <c r="G16" s="9"/>
    </row>
    <row r="17" spans="1:7" ht="64.5" customHeight="1" x14ac:dyDescent="0.4">
      <c r="A17" s="342" t="s">
        <v>165</v>
      </c>
      <c r="B17" s="138" t="s">
        <v>166</v>
      </c>
      <c r="C17" s="390"/>
      <c r="D17" s="343" t="s">
        <v>167</v>
      </c>
      <c r="E17" s="408">
        <f>'[1]Indicadores e Metas'!$F$18</f>
        <v>0.6378896882494004</v>
      </c>
      <c r="F17" s="408">
        <f>G17</f>
        <v>0.61303854875283448</v>
      </c>
      <c r="G17" s="402">
        <f>5407/12/735</f>
        <v>0.61303854875283448</v>
      </c>
    </row>
    <row r="18" spans="1:7" ht="64.5" customHeight="1" x14ac:dyDescent="0.25">
      <c r="A18" s="342"/>
      <c r="B18" s="137" t="s">
        <v>168</v>
      </c>
      <c r="C18" s="391"/>
      <c r="D18" s="343"/>
      <c r="E18" s="409"/>
      <c r="F18" s="409"/>
      <c r="G18" s="402"/>
    </row>
    <row r="19" spans="1:7" ht="64.5" customHeight="1" x14ac:dyDescent="0.4">
      <c r="A19" s="342" t="s">
        <v>169</v>
      </c>
      <c r="B19" s="138" t="s">
        <v>170</v>
      </c>
      <c r="C19" s="390" t="s">
        <v>171</v>
      </c>
      <c r="D19" s="343" t="s">
        <v>167</v>
      </c>
      <c r="E19" s="359">
        <v>0.8</v>
      </c>
      <c r="F19" s="359">
        <v>0.9</v>
      </c>
      <c r="G19" s="9"/>
    </row>
    <row r="20" spans="1:7" ht="64.5" customHeight="1" x14ac:dyDescent="0.25">
      <c r="A20" s="342"/>
      <c r="B20" s="137" t="s">
        <v>172</v>
      </c>
      <c r="C20" s="391"/>
      <c r="D20" s="343"/>
      <c r="E20" s="360"/>
      <c r="F20" s="360"/>
      <c r="G20" s="9"/>
    </row>
    <row r="21" spans="1:7" ht="64.5" hidden="1" customHeight="1" x14ac:dyDescent="0.4">
      <c r="A21" s="342" t="s">
        <v>173</v>
      </c>
      <c r="B21" s="138" t="s">
        <v>174</v>
      </c>
      <c r="C21" s="390" t="s">
        <v>171</v>
      </c>
      <c r="D21" s="343" t="s">
        <v>175</v>
      </c>
      <c r="E21" s="359"/>
      <c r="F21" s="359"/>
      <c r="G21" s="9"/>
    </row>
    <row r="22" spans="1:7" ht="64.5" hidden="1" customHeight="1" x14ac:dyDescent="0.25">
      <c r="A22" s="342"/>
      <c r="B22" s="137" t="s">
        <v>176</v>
      </c>
      <c r="C22" s="391"/>
      <c r="D22" s="343"/>
      <c r="E22" s="360"/>
      <c r="F22" s="360"/>
      <c r="G22" s="9"/>
    </row>
    <row r="23" spans="1:7" ht="64.5" customHeight="1" x14ac:dyDescent="0.4">
      <c r="A23" s="343" t="s">
        <v>177</v>
      </c>
      <c r="B23" s="138" t="s">
        <v>178</v>
      </c>
      <c r="C23" s="342" t="s">
        <v>158</v>
      </c>
      <c r="D23" s="343" t="s">
        <v>175</v>
      </c>
      <c r="E23" s="359">
        <v>0.6</v>
      </c>
      <c r="F23" s="359">
        <v>0.6</v>
      </c>
      <c r="G23" s="9"/>
    </row>
    <row r="24" spans="1:7" ht="64.5" customHeight="1" x14ac:dyDescent="0.25">
      <c r="A24" s="343"/>
      <c r="B24" s="139" t="s">
        <v>179</v>
      </c>
      <c r="C24" s="342"/>
      <c r="D24" s="343"/>
      <c r="E24" s="360"/>
      <c r="F24" s="360"/>
      <c r="G24" s="9"/>
    </row>
    <row r="25" spans="1:7" ht="97.5" customHeight="1" x14ac:dyDescent="0.25">
      <c r="A25" s="94" t="s">
        <v>42</v>
      </c>
      <c r="B25" s="387" t="s">
        <v>80</v>
      </c>
      <c r="C25" s="388"/>
      <c r="D25" s="91" t="s">
        <v>81</v>
      </c>
      <c r="E25" s="91" t="s">
        <v>155</v>
      </c>
      <c r="F25" s="91" t="s">
        <v>244</v>
      </c>
    </row>
    <row r="26" spans="1:7" ht="91.5" customHeight="1" x14ac:dyDescent="0.4">
      <c r="A26" s="384" t="s">
        <v>180</v>
      </c>
      <c r="B26" s="140" t="s">
        <v>181</v>
      </c>
      <c r="C26" s="385" t="s">
        <v>158</v>
      </c>
      <c r="D26" s="343" t="s">
        <v>128</v>
      </c>
      <c r="E26" s="359">
        <v>0.8</v>
      </c>
      <c r="F26" s="359">
        <v>0.8</v>
      </c>
      <c r="G26" s="9"/>
    </row>
    <row r="27" spans="1:7" ht="91.5" customHeight="1" x14ac:dyDescent="0.25">
      <c r="A27" s="384"/>
      <c r="B27" s="141" t="s">
        <v>182</v>
      </c>
      <c r="C27" s="386"/>
      <c r="D27" s="343"/>
      <c r="E27" s="360"/>
      <c r="F27" s="360"/>
      <c r="G27" s="9"/>
    </row>
    <row r="28" spans="1:7" ht="91.5" customHeight="1" x14ac:dyDescent="0.4">
      <c r="A28" s="384" t="s">
        <v>183</v>
      </c>
      <c r="B28" s="140" t="s">
        <v>184</v>
      </c>
      <c r="C28" s="385" t="s">
        <v>158</v>
      </c>
      <c r="D28" s="343" t="s">
        <v>128</v>
      </c>
      <c r="E28" s="359">
        <v>0.8</v>
      </c>
      <c r="F28" s="359">
        <v>0.8</v>
      </c>
      <c r="G28" s="9"/>
    </row>
    <row r="29" spans="1:7" ht="91.5" customHeight="1" x14ac:dyDescent="0.25">
      <c r="A29" s="384"/>
      <c r="B29" s="141" t="s">
        <v>185</v>
      </c>
      <c r="C29" s="386"/>
      <c r="D29" s="343"/>
      <c r="E29" s="360"/>
      <c r="F29" s="360"/>
      <c r="G29" s="9"/>
    </row>
    <row r="30" spans="1:7" ht="128.25" hidden="1" customHeight="1" x14ac:dyDescent="0.25">
      <c r="A30" s="94" t="s">
        <v>43</v>
      </c>
      <c r="B30" s="387" t="s">
        <v>80</v>
      </c>
      <c r="C30" s="388"/>
      <c r="D30" s="91" t="s">
        <v>81</v>
      </c>
      <c r="E30" s="91" t="s">
        <v>155</v>
      </c>
      <c r="F30" s="91" t="s">
        <v>244</v>
      </c>
    </row>
    <row r="31" spans="1:7" ht="90" hidden="1" customHeight="1" x14ac:dyDescent="0.4">
      <c r="A31" s="384" t="s">
        <v>186</v>
      </c>
      <c r="B31" s="140" t="s">
        <v>187</v>
      </c>
      <c r="C31" s="385" t="s">
        <v>158</v>
      </c>
      <c r="D31" s="384" t="s">
        <v>127</v>
      </c>
      <c r="E31" s="344"/>
      <c r="F31" s="344"/>
    </row>
    <row r="32" spans="1:7" ht="90" hidden="1" customHeight="1" x14ac:dyDescent="0.25">
      <c r="A32" s="384"/>
      <c r="B32" s="142" t="s">
        <v>188</v>
      </c>
      <c r="C32" s="389"/>
      <c r="D32" s="384"/>
      <c r="E32" s="345"/>
      <c r="F32" s="345"/>
    </row>
    <row r="33" spans="1:11" ht="90" hidden="1" customHeight="1" x14ac:dyDescent="0.4">
      <c r="A33" s="384" t="s">
        <v>189</v>
      </c>
      <c r="B33" s="140" t="s">
        <v>190</v>
      </c>
      <c r="C33" s="385" t="s">
        <v>158</v>
      </c>
      <c r="D33" s="384" t="s">
        <v>127</v>
      </c>
      <c r="E33" s="344"/>
      <c r="F33" s="344"/>
    </row>
    <row r="34" spans="1:11" ht="90" hidden="1" customHeight="1" x14ac:dyDescent="0.25">
      <c r="A34" s="384"/>
      <c r="B34" s="141" t="s">
        <v>187</v>
      </c>
      <c r="C34" s="386"/>
      <c r="D34" s="384"/>
      <c r="E34" s="345"/>
      <c r="F34" s="345"/>
    </row>
    <row r="35" spans="1:11" ht="128.25" hidden="1" customHeight="1" x14ac:dyDescent="0.25">
      <c r="A35" s="94" t="s">
        <v>44</v>
      </c>
      <c r="B35" s="346" t="s">
        <v>80</v>
      </c>
      <c r="C35" s="347"/>
      <c r="D35" s="91" t="s">
        <v>81</v>
      </c>
      <c r="E35" s="91" t="s">
        <v>155</v>
      </c>
      <c r="F35" s="91" t="s">
        <v>244</v>
      </c>
    </row>
    <row r="36" spans="1:11" ht="101.25" hidden="1" customHeight="1" x14ac:dyDescent="0.25">
      <c r="A36" s="378" t="s">
        <v>191</v>
      </c>
      <c r="B36" s="143" t="s">
        <v>192</v>
      </c>
      <c r="C36" s="379" t="s">
        <v>158</v>
      </c>
      <c r="D36" s="378" t="s">
        <v>127</v>
      </c>
      <c r="E36" s="344"/>
      <c r="F36" s="344"/>
    </row>
    <row r="37" spans="1:11" ht="101.25" hidden="1" customHeight="1" x14ac:dyDescent="0.25">
      <c r="A37" s="378"/>
      <c r="B37" s="144" t="s">
        <v>193</v>
      </c>
      <c r="C37" s="380"/>
      <c r="D37" s="378"/>
      <c r="E37" s="345"/>
      <c r="F37" s="345"/>
    </row>
    <row r="38" spans="1:11" ht="101.25" hidden="1" customHeight="1" x14ac:dyDescent="0.25">
      <c r="A38" s="378" t="s">
        <v>194</v>
      </c>
      <c r="B38" s="145" t="s">
        <v>195</v>
      </c>
      <c r="C38" s="381" t="s">
        <v>158</v>
      </c>
      <c r="D38" s="378" t="s">
        <v>127</v>
      </c>
      <c r="E38" s="344"/>
      <c r="F38" s="344"/>
    </row>
    <row r="39" spans="1:11" ht="101.25" hidden="1" customHeight="1" x14ac:dyDescent="0.25">
      <c r="A39" s="378"/>
      <c r="B39" s="146" t="s">
        <v>196</v>
      </c>
      <c r="C39" s="382"/>
      <c r="D39" s="378"/>
      <c r="E39" s="383"/>
      <c r="F39" s="383"/>
    </row>
    <row r="40" spans="1:11" ht="64.5" customHeight="1" x14ac:dyDescent="0.25">
      <c r="A40" s="94" t="s">
        <v>45</v>
      </c>
      <c r="B40" s="374" t="s">
        <v>80</v>
      </c>
      <c r="C40" s="375"/>
      <c r="D40" s="91" t="s">
        <v>81</v>
      </c>
      <c r="E40" s="91" t="s">
        <v>155</v>
      </c>
      <c r="F40" s="91" t="s">
        <v>244</v>
      </c>
      <c r="G40" s="340" t="s">
        <v>350</v>
      </c>
      <c r="H40" s="340"/>
      <c r="I40" s="340"/>
      <c r="J40" s="340"/>
      <c r="K40" s="340"/>
    </row>
    <row r="41" spans="1:11" ht="100.5" hidden="1" customHeight="1" x14ac:dyDescent="0.25">
      <c r="A41" s="343" t="s">
        <v>197</v>
      </c>
      <c r="B41" s="147" t="s">
        <v>198</v>
      </c>
      <c r="C41" s="342" t="s">
        <v>199</v>
      </c>
      <c r="D41" s="376" t="s">
        <v>127</v>
      </c>
      <c r="E41" s="372"/>
      <c r="F41" s="349"/>
      <c r="G41" s="338"/>
      <c r="H41" s="339"/>
      <c r="I41" s="339"/>
      <c r="J41" s="339"/>
      <c r="K41" s="339"/>
    </row>
    <row r="42" spans="1:11" ht="100.5" hidden="1" customHeight="1" x14ac:dyDescent="0.25">
      <c r="A42" s="343"/>
      <c r="B42" s="147" t="s">
        <v>200</v>
      </c>
      <c r="C42" s="342"/>
      <c r="D42" s="377"/>
      <c r="E42" s="373"/>
      <c r="F42" s="350"/>
      <c r="G42" s="338"/>
      <c r="H42" s="339"/>
      <c r="I42" s="339"/>
      <c r="J42" s="339"/>
      <c r="K42" s="339"/>
    </row>
    <row r="43" spans="1:11" ht="100.5" customHeight="1" x14ac:dyDescent="0.25">
      <c r="A43" s="343" t="s">
        <v>201</v>
      </c>
      <c r="B43" s="147" t="s">
        <v>202</v>
      </c>
      <c r="C43" s="342" t="s">
        <v>158</v>
      </c>
      <c r="D43" s="369" t="s">
        <v>127</v>
      </c>
      <c r="E43" s="372" t="s">
        <v>578</v>
      </c>
      <c r="F43" s="359">
        <v>0.22</v>
      </c>
      <c r="G43" s="336" t="s">
        <v>579</v>
      </c>
      <c r="H43" s="337"/>
      <c r="I43" s="337"/>
      <c r="J43" s="337"/>
      <c r="K43" s="337"/>
    </row>
    <row r="44" spans="1:11" ht="100.5" customHeight="1" x14ac:dyDescent="0.25">
      <c r="A44" s="343"/>
      <c r="B44" s="147" t="s">
        <v>203</v>
      </c>
      <c r="C44" s="342"/>
      <c r="D44" s="371"/>
      <c r="E44" s="373"/>
      <c r="F44" s="360"/>
      <c r="G44" s="336"/>
      <c r="H44" s="337"/>
      <c r="I44" s="337"/>
      <c r="J44" s="337"/>
      <c r="K44" s="337"/>
    </row>
    <row r="45" spans="1:11" ht="74.25" customHeight="1" x14ac:dyDescent="0.25">
      <c r="A45" s="94" t="s">
        <v>46</v>
      </c>
      <c r="B45" s="346" t="s">
        <v>80</v>
      </c>
      <c r="C45" s="352"/>
      <c r="D45" s="91" t="s">
        <v>81</v>
      </c>
      <c r="E45" s="91" t="s">
        <v>155</v>
      </c>
      <c r="F45" s="91" t="s">
        <v>244</v>
      </c>
      <c r="G45" s="340" t="s">
        <v>350</v>
      </c>
      <c r="H45" s="340"/>
      <c r="I45" s="340"/>
      <c r="J45" s="340"/>
      <c r="K45" s="340"/>
    </row>
    <row r="46" spans="1:11" ht="74.25" hidden="1" customHeight="1" x14ac:dyDescent="0.25">
      <c r="A46" s="148" t="s">
        <v>245</v>
      </c>
      <c r="B46" s="341" t="s">
        <v>204</v>
      </c>
      <c r="C46" s="341"/>
      <c r="D46" s="149" t="s">
        <v>167</v>
      </c>
      <c r="E46" s="205"/>
      <c r="F46" s="210"/>
    </row>
    <row r="47" spans="1:11" ht="125.25" customHeight="1" x14ac:dyDescent="0.4">
      <c r="A47" s="341" t="s">
        <v>246</v>
      </c>
      <c r="B47" s="138" t="s">
        <v>205</v>
      </c>
      <c r="C47" s="342" t="s">
        <v>158</v>
      </c>
      <c r="D47" s="369" t="s">
        <v>128</v>
      </c>
      <c r="E47" s="359">
        <v>0.9</v>
      </c>
      <c r="F47" s="359">
        <v>0.9</v>
      </c>
      <c r="G47" s="9"/>
    </row>
    <row r="48" spans="1:11" ht="90" customHeight="1" x14ac:dyDescent="0.25">
      <c r="A48" s="341"/>
      <c r="B48" s="139" t="s">
        <v>206</v>
      </c>
      <c r="C48" s="342"/>
      <c r="D48" s="370"/>
      <c r="E48" s="360"/>
      <c r="F48" s="360"/>
      <c r="G48" s="9"/>
    </row>
    <row r="49" spans="1:10" ht="49.5" customHeight="1" x14ac:dyDescent="0.4">
      <c r="A49" s="341" t="s">
        <v>247</v>
      </c>
      <c r="B49" s="138" t="s">
        <v>207</v>
      </c>
      <c r="C49" s="342" t="s">
        <v>158</v>
      </c>
      <c r="D49" s="369" t="s">
        <v>128</v>
      </c>
      <c r="E49" s="359">
        <v>0.9</v>
      </c>
      <c r="F49" s="359">
        <v>0.9</v>
      </c>
      <c r="G49" s="9"/>
    </row>
    <row r="50" spans="1:10" ht="90" customHeight="1" x14ac:dyDescent="0.25">
      <c r="A50" s="341"/>
      <c r="B50" s="147" t="s">
        <v>208</v>
      </c>
      <c r="C50" s="342"/>
      <c r="D50" s="370"/>
      <c r="E50" s="360"/>
      <c r="F50" s="360"/>
      <c r="G50" s="9"/>
    </row>
    <row r="51" spans="1:10" ht="51" hidden="1" customHeight="1" x14ac:dyDescent="0.25">
      <c r="A51" s="94" t="s">
        <v>47</v>
      </c>
      <c r="B51" s="346" t="s">
        <v>80</v>
      </c>
      <c r="C51" s="352"/>
      <c r="D51" s="91" t="s">
        <v>81</v>
      </c>
      <c r="E51" s="91" t="s">
        <v>155</v>
      </c>
      <c r="F51" s="91" t="s">
        <v>244</v>
      </c>
    </row>
    <row r="52" spans="1:10" ht="69" hidden="1" customHeight="1" x14ac:dyDescent="0.25">
      <c r="A52" s="348" t="s">
        <v>209</v>
      </c>
      <c r="B52" s="150" t="s">
        <v>210</v>
      </c>
      <c r="C52" s="365" t="s">
        <v>158</v>
      </c>
      <c r="D52" s="366" t="s">
        <v>127</v>
      </c>
      <c r="E52" s="344"/>
      <c r="F52" s="344"/>
    </row>
    <row r="53" spans="1:10" ht="69" hidden="1" customHeight="1" x14ac:dyDescent="0.25">
      <c r="A53" s="348"/>
      <c r="B53" s="150" t="s">
        <v>211</v>
      </c>
      <c r="C53" s="365"/>
      <c r="D53" s="366"/>
      <c r="E53" s="345"/>
      <c r="F53" s="345"/>
    </row>
    <row r="54" spans="1:10" ht="69" hidden="1" customHeight="1" x14ac:dyDescent="0.25">
      <c r="A54" s="367" t="s">
        <v>248</v>
      </c>
      <c r="B54" s="151" t="s">
        <v>212</v>
      </c>
      <c r="C54" s="368" t="s">
        <v>158</v>
      </c>
      <c r="D54" s="367" t="s">
        <v>127</v>
      </c>
      <c r="E54" s="344"/>
      <c r="F54" s="344"/>
    </row>
    <row r="55" spans="1:10" ht="69" hidden="1" customHeight="1" x14ac:dyDescent="0.25">
      <c r="A55" s="367"/>
      <c r="B55" s="151" t="s">
        <v>213</v>
      </c>
      <c r="C55" s="368"/>
      <c r="D55" s="367"/>
      <c r="E55" s="345"/>
      <c r="F55" s="345"/>
    </row>
    <row r="56" spans="1:10" ht="69" hidden="1" customHeight="1" x14ac:dyDescent="0.25">
      <c r="A56" s="94" t="s">
        <v>48</v>
      </c>
      <c r="B56" s="346" t="s">
        <v>80</v>
      </c>
      <c r="C56" s="352"/>
      <c r="D56" s="91" t="s">
        <v>81</v>
      </c>
      <c r="E56" s="91" t="s">
        <v>155</v>
      </c>
      <c r="F56" s="91" t="s">
        <v>244</v>
      </c>
    </row>
    <row r="57" spans="1:10" ht="113.25" hidden="1" customHeight="1" x14ac:dyDescent="0.25">
      <c r="A57" s="148" t="s">
        <v>214</v>
      </c>
      <c r="B57" s="147" t="s">
        <v>215</v>
      </c>
      <c r="C57" s="152"/>
      <c r="D57" s="153" t="s">
        <v>128</v>
      </c>
      <c r="E57" s="206"/>
      <c r="F57" s="211"/>
    </row>
    <row r="58" spans="1:10" ht="129" hidden="1" customHeight="1" x14ac:dyDescent="0.25">
      <c r="A58" s="148" t="s">
        <v>216</v>
      </c>
      <c r="B58" s="147" t="s">
        <v>217</v>
      </c>
      <c r="C58" s="152" t="s">
        <v>158</v>
      </c>
      <c r="D58" s="153" t="s">
        <v>128</v>
      </c>
      <c r="E58" s="206"/>
      <c r="F58" s="212"/>
    </row>
    <row r="59" spans="1:10" ht="74.25" customHeight="1" x14ac:dyDescent="0.25">
      <c r="A59" s="94" t="s">
        <v>49</v>
      </c>
      <c r="B59" s="346" t="s">
        <v>80</v>
      </c>
      <c r="C59" s="352"/>
      <c r="D59" s="91" t="s">
        <v>81</v>
      </c>
      <c r="E59" s="91" t="s">
        <v>155</v>
      </c>
      <c r="F59" s="91" t="s">
        <v>244</v>
      </c>
    </row>
    <row r="60" spans="1:10" ht="68.25" customHeight="1" x14ac:dyDescent="0.4">
      <c r="A60" s="341" t="s">
        <v>218</v>
      </c>
      <c r="B60" s="348" t="s">
        <v>219</v>
      </c>
      <c r="C60" s="348"/>
      <c r="D60" s="343" t="s">
        <v>220</v>
      </c>
      <c r="E60" s="363">
        <v>2035</v>
      </c>
      <c r="F60" s="361">
        <v>1638.91</v>
      </c>
      <c r="G60" s="249"/>
    </row>
    <row r="61" spans="1:10" ht="68.25" customHeight="1" x14ac:dyDescent="0.4">
      <c r="A61" s="341"/>
      <c r="B61" s="351" t="s">
        <v>221</v>
      </c>
      <c r="C61" s="351"/>
      <c r="D61" s="343"/>
      <c r="E61" s="364"/>
      <c r="F61" s="362"/>
      <c r="G61" s="250">
        <f>'Anexo_1.2_Usos e Fontes'!D11/735</f>
        <v>1638.9118639455783</v>
      </c>
    </row>
    <row r="62" spans="1:10" ht="68.25" customHeight="1" x14ac:dyDescent="0.25">
      <c r="A62" s="341" t="s">
        <v>222</v>
      </c>
      <c r="B62" s="147" t="s">
        <v>223</v>
      </c>
      <c r="C62" s="342" t="s">
        <v>158</v>
      </c>
      <c r="D62" s="343" t="s">
        <v>220</v>
      </c>
      <c r="E62" s="357">
        <f>'[1]Indicadores e Metas'!$F$74</f>
        <v>0.55220725286540306</v>
      </c>
      <c r="F62" s="359">
        <f>G62</f>
        <v>0.59593948106700501</v>
      </c>
      <c r="G62" s="399">
        <f>'Anexo_1.1_Limites Estratégicos'!M7/'Anexo_1.1_Limites Estratégicos'!M9</f>
        <v>0.59593948106700501</v>
      </c>
    </row>
    <row r="63" spans="1:10" ht="68.25" customHeight="1" x14ac:dyDescent="0.35">
      <c r="A63" s="341"/>
      <c r="B63" s="147" t="s">
        <v>224</v>
      </c>
      <c r="C63" s="342"/>
      <c r="D63" s="343"/>
      <c r="E63" s="358"/>
      <c r="F63" s="360"/>
      <c r="G63" s="400"/>
      <c r="J63" s="173" t="s">
        <v>566</v>
      </c>
    </row>
    <row r="64" spans="1:10" ht="68.25" hidden="1" customHeight="1" x14ac:dyDescent="0.35">
      <c r="A64" s="341" t="s">
        <v>249</v>
      </c>
      <c r="B64" s="343" t="s">
        <v>225</v>
      </c>
      <c r="C64" s="343"/>
      <c r="D64" s="343" t="s">
        <v>220</v>
      </c>
      <c r="E64" s="357"/>
      <c r="F64" s="359"/>
      <c r="G64" s="248"/>
      <c r="J64" s="173"/>
    </row>
    <row r="65" spans="1:10" ht="68.25" hidden="1" customHeight="1" x14ac:dyDescent="0.35">
      <c r="A65" s="341"/>
      <c r="B65" s="343" t="s">
        <v>226</v>
      </c>
      <c r="C65" s="343"/>
      <c r="D65" s="343"/>
      <c r="E65" s="358"/>
      <c r="F65" s="360"/>
      <c r="G65" s="248"/>
      <c r="J65" s="173"/>
    </row>
    <row r="66" spans="1:10" ht="68.25" customHeight="1" x14ac:dyDescent="0.35">
      <c r="A66" s="341" t="s">
        <v>227</v>
      </c>
      <c r="B66" s="147" t="s">
        <v>228</v>
      </c>
      <c r="C66" s="342" t="s">
        <v>158</v>
      </c>
      <c r="D66" s="343" t="s">
        <v>220</v>
      </c>
      <c r="E66" s="353">
        <f>'[1]Indicadores e Metas'!$F$78</f>
        <v>0.22900000000000001</v>
      </c>
      <c r="F66" s="355">
        <f>G66</f>
        <v>0.21099999999999999</v>
      </c>
      <c r="G66" s="401">
        <v>0.21099999999999999</v>
      </c>
      <c r="J66" s="173" t="s">
        <v>566</v>
      </c>
    </row>
    <row r="67" spans="1:10" ht="68.25" customHeight="1" x14ac:dyDescent="0.35">
      <c r="A67" s="341"/>
      <c r="B67" s="147" t="s">
        <v>229</v>
      </c>
      <c r="C67" s="342"/>
      <c r="D67" s="343"/>
      <c r="E67" s="354"/>
      <c r="F67" s="356"/>
      <c r="G67" s="401"/>
      <c r="J67" s="173" t="s">
        <v>566</v>
      </c>
    </row>
    <row r="68" spans="1:10" ht="68.25" customHeight="1" x14ac:dyDescent="0.35">
      <c r="A68" s="341" t="s">
        <v>230</v>
      </c>
      <c r="B68" s="147" t="s">
        <v>231</v>
      </c>
      <c r="C68" s="342" t="s">
        <v>158</v>
      </c>
      <c r="D68" s="343" t="s">
        <v>220</v>
      </c>
      <c r="E68" s="353">
        <f>'[1]Indicadores e Metas'!$F$80</f>
        <v>0.46700000000000003</v>
      </c>
      <c r="F68" s="355">
        <f>G68</f>
        <v>0.437</v>
      </c>
      <c r="G68" s="401">
        <v>0.437</v>
      </c>
      <c r="J68" s="173" t="s">
        <v>566</v>
      </c>
    </row>
    <row r="69" spans="1:10" ht="68.25" customHeight="1" x14ac:dyDescent="0.25">
      <c r="A69" s="341"/>
      <c r="B69" s="147" t="s">
        <v>232</v>
      </c>
      <c r="C69" s="342"/>
      <c r="D69" s="343"/>
      <c r="E69" s="354"/>
      <c r="F69" s="356"/>
      <c r="G69" s="401"/>
    </row>
    <row r="70" spans="1:10" ht="76.5" hidden="1" customHeight="1" x14ac:dyDescent="0.25">
      <c r="A70" s="94" t="s">
        <v>50</v>
      </c>
      <c r="B70" s="346" t="s">
        <v>80</v>
      </c>
      <c r="C70" s="352"/>
      <c r="D70" s="91" t="s">
        <v>81</v>
      </c>
      <c r="E70" s="91" t="s">
        <v>155</v>
      </c>
      <c r="F70" s="91" t="s">
        <v>244</v>
      </c>
      <c r="G70" s="9"/>
    </row>
    <row r="71" spans="1:10" ht="59.25" hidden="1" customHeight="1" x14ac:dyDescent="0.25">
      <c r="A71" s="341" t="s">
        <v>250</v>
      </c>
      <c r="B71" s="147" t="s">
        <v>233</v>
      </c>
      <c r="C71" s="342" t="s">
        <v>158</v>
      </c>
      <c r="D71" s="343" t="s">
        <v>220</v>
      </c>
      <c r="E71" s="344"/>
      <c r="F71" s="344"/>
      <c r="G71" s="9"/>
    </row>
    <row r="72" spans="1:10" ht="83.25" hidden="1" customHeight="1" x14ac:dyDescent="0.25">
      <c r="A72" s="341"/>
      <c r="B72" s="147" t="s">
        <v>234</v>
      </c>
      <c r="C72" s="342"/>
      <c r="D72" s="343"/>
      <c r="E72" s="345"/>
      <c r="F72" s="345"/>
      <c r="G72" s="9"/>
    </row>
    <row r="73" spans="1:10" ht="83.25" customHeight="1" x14ac:dyDescent="0.25">
      <c r="A73" s="94" t="s">
        <v>51</v>
      </c>
      <c r="B73" s="346" t="s">
        <v>80</v>
      </c>
      <c r="C73" s="347"/>
      <c r="D73" s="91" t="s">
        <v>81</v>
      </c>
      <c r="E73" s="91" t="s">
        <v>155</v>
      </c>
      <c r="F73" s="91" t="s">
        <v>244</v>
      </c>
      <c r="G73" s="9"/>
    </row>
    <row r="74" spans="1:10" ht="87" customHeight="1" x14ac:dyDescent="0.4">
      <c r="A74" s="341" t="s">
        <v>251</v>
      </c>
      <c r="B74" s="348" t="s">
        <v>235</v>
      </c>
      <c r="C74" s="348"/>
      <c r="D74" s="343" t="s">
        <v>127</v>
      </c>
      <c r="E74" s="349" t="s">
        <v>541</v>
      </c>
      <c r="F74" s="349" t="s">
        <v>541</v>
      </c>
      <c r="G74" s="9"/>
    </row>
    <row r="75" spans="1:10" ht="87" customHeight="1" x14ac:dyDescent="0.25">
      <c r="A75" s="341"/>
      <c r="B75" s="351" t="s">
        <v>236</v>
      </c>
      <c r="C75" s="351"/>
      <c r="D75" s="343"/>
      <c r="E75" s="350"/>
      <c r="F75" s="350"/>
      <c r="G75" s="9"/>
    </row>
    <row r="76" spans="1:10" ht="26.25" hidden="1" x14ac:dyDescent="0.25">
      <c r="A76" s="94" t="s">
        <v>52</v>
      </c>
      <c r="B76" s="346" t="s">
        <v>80</v>
      </c>
      <c r="C76" s="347"/>
      <c r="D76" s="91" t="s">
        <v>81</v>
      </c>
      <c r="E76" s="91" t="s">
        <v>155</v>
      </c>
      <c r="F76" s="91" t="s">
        <v>244</v>
      </c>
    </row>
    <row r="77" spans="1:10" ht="88.5" hidden="1" customHeight="1" x14ac:dyDescent="0.4">
      <c r="A77" s="341" t="s">
        <v>252</v>
      </c>
      <c r="B77" s="138" t="s">
        <v>237</v>
      </c>
      <c r="C77" s="342" t="s">
        <v>158</v>
      </c>
      <c r="D77" s="343" t="s">
        <v>127</v>
      </c>
      <c r="E77" s="344"/>
      <c r="F77" s="344"/>
    </row>
    <row r="78" spans="1:10" ht="88.5" hidden="1" customHeight="1" x14ac:dyDescent="0.25">
      <c r="A78" s="341"/>
      <c r="B78" s="139" t="s">
        <v>238</v>
      </c>
      <c r="C78" s="342"/>
      <c r="D78" s="343"/>
      <c r="E78" s="345"/>
      <c r="F78" s="345"/>
    </row>
    <row r="79" spans="1:10" ht="104.25" hidden="1" customHeight="1" x14ac:dyDescent="0.25">
      <c r="A79" s="94" t="s">
        <v>53</v>
      </c>
      <c r="B79" s="346" t="s">
        <v>80</v>
      </c>
      <c r="C79" s="347"/>
      <c r="D79" s="91" t="s">
        <v>81</v>
      </c>
      <c r="E79" s="91" t="s">
        <v>155</v>
      </c>
      <c r="F79" s="91" t="s">
        <v>244</v>
      </c>
    </row>
    <row r="80" spans="1:10" ht="85.5" hidden="1" customHeight="1" x14ac:dyDescent="0.4">
      <c r="A80" s="341" t="s">
        <v>253</v>
      </c>
      <c r="B80" s="138" t="s">
        <v>239</v>
      </c>
      <c r="C80" s="342" t="s">
        <v>158</v>
      </c>
      <c r="D80" s="343" t="s">
        <v>220</v>
      </c>
      <c r="E80" s="344"/>
      <c r="F80" s="344"/>
    </row>
    <row r="81" spans="1:6" ht="85.5" hidden="1" customHeight="1" x14ac:dyDescent="0.25">
      <c r="A81" s="341"/>
      <c r="B81" s="147" t="s">
        <v>240</v>
      </c>
      <c r="C81" s="342"/>
      <c r="D81" s="343"/>
      <c r="E81" s="345"/>
      <c r="F81" s="345"/>
    </row>
    <row r="82" spans="1:6" ht="85.5" hidden="1" customHeight="1" x14ac:dyDescent="0.25">
      <c r="A82" s="341" t="s">
        <v>254</v>
      </c>
      <c r="B82" s="147" t="s">
        <v>241</v>
      </c>
      <c r="C82" s="342" t="s">
        <v>158</v>
      </c>
      <c r="D82" s="343" t="s">
        <v>220</v>
      </c>
      <c r="E82" s="344"/>
      <c r="F82" s="344"/>
    </row>
    <row r="83" spans="1:6" ht="85.5" hidden="1" customHeight="1" x14ac:dyDescent="0.25">
      <c r="A83" s="341"/>
      <c r="B83" s="147" t="s">
        <v>242</v>
      </c>
      <c r="C83" s="342"/>
      <c r="D83" s="343"/>
      <c r="E83" s="345"/>
      <c r="F83" s="345"/>
    </row>
  </sheetData>
  <mergeCells count="177">
    <mergeCell ref="G62:G63"/>
    <mergeCell ref="G66:G67"/>
    <mergeCell ref="G68:G69"/>
    <mergeCell ref="G17:G18"/>
    <mergeCell ref="A11:F11"/>
    <mergeCell ref="B12:C12"/>
    <mergeCell ref="A13:A14"/>
    <mergeCell ref="C13:C14"/>
    <mergeCell ref="D13:D14"/>
    <mergeCell ref="E13:E14"/>
    <mergeCell ref="F13:F14"/>
    <mergeCell ref="A15:A16"/>
    <mergeCell ref="C15:C16"/>
    <mergeCell ref="D15:D16"/>
    <mergeCell ref="E15:E16"/>
    <mergeCell ref="F15:F16"/>
    <mergeCell ref="A17:A18"/>
    <mergeCell ref="C17:C18"/>
    <mergeCell ref="D17:D18"/>
    <mergeCell ref="E17:E18"/>
    <mergeCell ref="F17:F18"/>
    <mergeCell ref="A23:A24"/>
    <mergeCell ref="C23:C24"/>
    <mergeCell ref="B25:C25"/>
    <mergeCell ref="A2:F2"/>
    <mergeCell ref="A3:F3"/>
    <mergeCell ref="A4:F4"/>
    <mergeCell ref="A6:F6"/>
    <mergeCell ref="B8:C8"/>
    <mergeCell ref="A9:A10"/>
    <mergeCell ref="C9:C10"/>
    <mergeCell ref="D9:D10"/>
    <mergeCell ref="E9:E10"/>
    <mergeCell ref="F9:F10"/>
    <mergeCell ref="A19:A20"/>
    <mergeCell ref="C19:C20"/>
    <mergeCell ref="D19:D20"/>
    <mergeCell ref="E19:E20"/>
    <mergeCell ref="F19:F20"/>
    <mergeCell ref="A21:A22"/>
    <mergeCell ref="C21:C22"/>
    <mergeCell ref="D21:D22"/>
    <mergeCell ref="E21:E22"/>
    <mergeCell ref="F21:F22"/>
    <mergeCell ref="D23:D24"/>
    <mergeCell ref="E23:E24"/>
    <mergeCell ref="F23:F24"/>
    <mergeCell ref="A26:A27"/>
    <mergeCell ref="C26:C27"/>
    <mergeCell ref="D26:D27"/>
    <mergeCell ref="E26:E27"/>
    <mergeCell ref="F26:F27"/>
    <mergeCell ref="A28:A29"/>
    <mergeCell ref="C28:C29"/>
    <mergeCell ref="D28:D29"/>
    <mergeCell ref="E28:E29"/>
    <mergeCell ref="F28:F29"/>
    <mergeCell ref="A33:A34"/>
    <mergeCell ref="C33:C34"/>
    <mergeCell ref="D33:D34"/>
    <mergeCell ref="E33:E34"/>
    <mergeCell ref="F33:F34"/>
    <mergeCell ref="B35:C35"/>
    <mergeCell ref="B30:C30"/>
    <mergeCell ref="A31:A32"/>
    <mergeCell ref="C31:C32"/>
    <mergeCell ref="D31:D32"/>
    <mergeCell ref="E31:E32"/>
    <mergeCell ref="F31:F32"/>
    <mergeCell ref="B40:C40"/>
    <mergeCell ref="A41:A42"/>
    <mergeCell ref="C41:C42"/>
    <mergeCell ref="D41:D42"/>
    <mergeCell ref="E41:E42"/>
    <mergeCell ref="F41:F42"/>
    <mergeCell ref="A36:A37"/>
    <mergeCell ref="C36:C37"/>
    <mergeCell ref="D36:D37"/>
    <mergeCell ref="E36:E37"/>
    <mergeCell ref="F36:F37"/>
    <mergeCell ref="A38:A39"/>
    <mergeCell ref="C38:C39"/>
    <mergeCell ref="D38:D39"/>
    <mergeCell ref="E38:E39"/>
    <mergeCell ref="F38:F39"/>
    <mergeCell ref="B46:C46"/>
    <mergeCell ref="A47:A48"/>
    <mergeCell ref="C47:C48"/>
    <mergeCell ref="D47:D48"/>
    <mergeCell ref="E47:E48"/>
    <mergeCell ref="F47:F48"/>
    <mergeCell ref="A43:A44"/>
    <mergeCell ref="C43:C44"/>
    <mergeCell ref="D43:D44"/>
    <mergeCell ref="E43:E44"/>
    <mergeCell ref="F43:F44"/>
    <mergeCell ref="B45:C45"/>
    <mergeCell ref="F52:F53"/>
    <mergeCell ref="A54:A55"/>
    <mergeCell ref="C54:C55"/>
    <mergeCell ref="D54:D55"/>
    <mergeCell ref="E54:E55"/>
    <mergeCell ref="F54:F55"/>
    <mergeCell ref="A49:A50"/>
    <mergeCell ref="C49:C50"/>
    <mergeCell ref="D49:D50"/>
    <mergeCell ref="E49:E50"/>
    <mergeCell ref="F49:F50"/>
    <mergeCell ref="B51:C51"/>
    <mergeCell ref="B56:C56"/>
    <mergeCell ref="B59:C59"/>
    <mergeCell ref="A60:A61"/>
    <mergeCell ref="B60:C60"/>
    <mergeCell ref="D60:D61"/>
    <mergeCell ref="E60:E61"/>
    <mergeCell ref="A52:A53"/>
    <mergeCell ref="C52:C53"/>
    <mergeCell ref="D52:D53"/>
    <mergeCell ref="E52:E53"/>
    <mergeCell ref="A64:A65"/>
    <mergeCell ref="B64:C64"/>
    <mergeCell ref="D64:D65"/>
    <mergeCell ref="E64:E65"/>
    <mergeCell ref="F64:F65"/>
    <mergeCell ref="B65:C65"/>
    <mergeCell ref="F60:F61"/>
    <mergeCell ref="B61:C61"/>
    <mergeCell ref="A62:A63"/>
    <mergeCell ref="C62:C63"/>
    <mergeCell ref="D62:D63"/>
    <mergeCell ref="E62:E63"/>
    <mergeCell ref="F62:F63"/>
    <mergeCell ref="A66:A67"/>
    <mergeCell ref="C66:C67"/>
    <mergeCell ref="D66:D67"/>
    <mergeCell ref="E66:E67"/>
    <mergeCell ref="F66:F67"/>
    <mergeCell ref="A68:A69"/>
    <mergeCell ref="C68:C69"/>
    <mergeCell ref="D68:D69"/>
    <mergeCell ref="E68:E69"/>
    <mergeCell ref="F68:F69"/>
    <mergeCell ref="B74:C74"/>
    <mergeCell ref="D74:D75"/>
    <mergeCell ref="E74:E75"/>
    <mergeCell ref="F74:F75"/>
    <mergeCell ref="B75:C75"/>
    <mergeCell ref="B70:C70"/>
    <mergeCell ref="A71:A72"/>
    <mergeCell ref="C71:C72"/>
    <mergeCell ref="D71:D72"/>
    <mergeCell ref="E71:E72"/>
    <mergeCell ref="F71:F72"/>
    <mergeCell ref="G43:K44"/>
    <mergeCell ref="G41:K42"/>
    <mergeCell ref="G12:K12"/>
    <mergeCell ref="G40:K40"/>
    <mergeCell ref="G45:K45"/>
    <mergeCell ref="A82:A83"/>
    <mergeCell ref="C82:C83"/>
    <mergeCell ref="D82:D83"/>
    <mergeCell ref="E82:E83"/>
    <mergeCell ref="F82:F83"/>
    <mergeCell ref="B79:C79"/>
    <mergeCell ref="A80:A81"/>
    <mergeCell ref="C80:C81"/>
    <mergeCell ref="D80:D81"/>
    <mergeCell ref="E80:E81"/>
    <mergeCell ref="F80:F81"/>
    <mergeCell ref="B76:C76"/>
    <mergeCell ref="A77:A78"/>
    <mergeCell ref="C77:C78"/>
    <mergeCell ref="D77:D78"/>
    <mergeCell ref="E77:E78"/>
    <mergeCell ref="F77:F78"/>
    <mergeCell ref="B73:C73"/>
    <mergeCell ref="A74:A7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rgb="FF92D050"/>
    <pageSetUpPr fitToPage="1"/>
  </sheetPr>
  <dimension ref="A2:AJ42"/>
  <sheetViews>
    <sheetView showGridLines="0" view="pageBreakPreview" topLeftCell="E20" zoomScale="60" zoomScaleNormal="50" workbookViewId="0">
      <selection activeCell="E10" sqref="E10:E27"/>
    </sheetView>
  </sheetViews>
  <sheetFormatPr defaultColWidth="9.140625" defaultRowHeight="15" x14ac:dyDescent="0.25"/>
  <cols>
    <col min="1" max="1" width="44.85546875" style="1" customWidth="1"/>
    <col min="2" max="2" width="9.28515625" style="1" customWidth="1"/>
    <col min="3" max="3" width="8.140625" style="1" customWidth="1"/>
    <col min="4" max="4" width="48.140625" style="1" customWidth="1"/>
    <col min="5" max="5" width="69.7109375" style="1" customWidth="1"/>
    <col min="6" max="6" width="53.85546875" style="1" customWidth="1"/>
    <col min="7" max="7" width="54" style="1" hidden="1" customWidth="1"/>
    <col min="8" max="8" width="86.28515625" style="1" customWidth="1"/>
    <col min="9" max="9" width="25.28515625" style="194" customWidth="1"/>
    <col min="10" max="10" width="24.85546875" style="1" customWidth="1"/>
    <col min="11" max="11" width="21.140625" style="1" customWidth="1"/>
    <col min="12" max="12" width="25" style="1" customWidth="1"/>
    <col min="13" max="13" width="17" style="1" customWidth="1"/>
    <col min="14" max="14" width="16.7109375" style="1" customWidth="1"/>
    <col min="15" max="15" width="14.28515625" style="1" hidden="1" customWidth="1"/>
    <col min="16" max="16" width="19.140625" style="1" hidden="1" customWidth="1"/>
    <col min="17" max="17" width="1.42578125" style="1" hidden="1" customWidth="1"/>
    <col min="18" max="18" width="1.7109375" style="1" hidden="1" customWidth="1"/>
    <col min="19" max="19" width="0.85546875" style="1" hidden="1" customWidth="1"/>
    <col min="20" max="20" width="21.85546875" style="1" hidden="1" customWidth="1"/>
    <col min="21" max="21" width="9.140625" style="1" hidden="1" customWidth="1"/>
    <col min="22" max="31" width="9.140625" style="157" hidden="1" customWidth="1"/>
    <col min="32" max="34" width="9.140625" style="1" hidden="1" customWidth="1"/>
    <col min="35" max="16384" width="9.140625" style="1"/>
  </cols>
  <sheetData>
    <row r="2" spans="1:36" ht="86.25" customHeight="1" x14ac:dyDescent="0.25"/>
    <row r="3" spans="1:36" ht="82.5" hidden="1" customHeight="1" x14ac:dyDescent="0.25">
      <c r="A3" s="410" t="s">
        <v>352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</row>
    <row r="4" spans="1:36" s="3" customFormat="1" ht="27" customHeight="1" x14ac:dyDescent="0.25">
      <c r="A4" s="412" t="str">
        <f>'Indicadores e Metas'!A3:F3</f>
        <v>CAU/UF: TO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V4" s="158"/>
      <c r="W4" s="158"/>
      <c r="X4" s="158"/>
      <c r="Y4" s="158"/>
      <c r="Z4" s="158"/>
      <c r="AA4" s="158"/>
      <c r="AB4" s="158"/>
      <c r="AC4" s="158"/>
      <c r="AD4" s="158"/>
      <c r="AE4" s="158"/>
    </row>
    <row r="5" spans="1:36" s="3" customFormat="1" ht="27" customHeight="1" x14ac:dyDescent="0.25">
      <c r="A5" s="412" t="s">
        <v>272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V5" s="158"/>
      <c r="W5" s="158"/>
      <c r="X5" s="158"/>
      <c r="Y5" s="158"/>
      <c r="Z5" s="158"/>
      <c r="AA5" s="158"/>
      <c r="AB5" s="158"/>
      <c r="AC5" s="158"/>
      <c r="AD5" s="158"/>
      <c r="AE5" s="158"/>
    </row>
    <row r="6" spans="1:36" s="28" customFormat="1" ht="28.5" customHeight="1" thickBot="1" x14ac:dyDescent="0.4">
      <c r="A6" s="51"/>
      <c r="B6" s="51"/>
      <c r="C6" s="51"/>
      <c r="D6" s="51"/>
      <c r="E6" s="51"/>
      <c r="F6" s="51"/>
      <c r="G6" s="51"/>
      <c r="H6" s="51"/>
      <c r="I6" s="214"/>
      <c r="J6" s="51"/>
      <c r="K6" s="51"/>
      <c r="L6" s="51"/>
      <c r="M6" s="51"/>
      <c r="N6" s="51"/>
      <c r="V6" s="159"/>
      <c r="W6" s="159"/>
      <c r="X6" s="159"/>
      <c r="Y6" s="159"/>
      <c r="Z6" s="159"/>
      <c r="AA6" s="159"/>
      <c r="AB6" s="159"/>
      <c r="AC6" s="159"/>
      <c r="AD6" s="159"/>
      <c r="AE6" s="159"/>
    </row>
    <row r="7" spans="1:36" s="3" customFormat="1" ht="21" x14ac:dyDescent="0.35">
      <c r="A7" s="417" t="s">
        <v>102</v>
      </c>
      <c r="B7" s="418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9" t="s">
        <v>37</v>
      </c>
      <c r="V7" s="158"/>
      <c r="W7" s="158"/>
      <c r="X7" s="158"/>
      <c r="Y7" s="158"/>
      <c r="Z7" s="158"/>
      <c r="AA7" s="158"/>
      <c r="AB7" s="158"/>
      <c r="AC7" s="158"/>
      <c r="AD7" s="158"/>
      <c r="AE7" s="158"/>
    </row>
    <row r="8" spans="1:36" s="3" customFormat="1" ht="26.25" x14ac:dyDescent="0.4">
      <c r="A8" s="415" t="s">
        <v>17</v>
      </c>
      <c r="B8" s="413" t="s">
        <v>381</v>
      </c>
      <c r="C8" s="413" t="s">
        <v>558</v>
      </c>
      <c r="D8" s="413" t="s">
        <v>18</v>
      </c>
      <c r="E8" s="413" t="s">
        <v>76</v>
      </c>
      <c r="F8" s="413" t="s">
        <v>55</v>
      </c>
      <c r="G8" s="429" t="s">
        <v>365</v>
      </c>
      <c r="H8" s="411" t="s">
        <v>106</v>
      </c>
      <c r="I8" s="424" t="s">
        <v>355</v>
      </c>
      <c r="J8" s="413" t="s">
        <v>354</v>
      </c>
      <c r="K8" s="413" t="s">
        <v>353</v>
      </c>
      <c r="L8" s="413" t="s">
        <v>97</v>
      </c>
      <c r="M8" s="413" t="s">
        <v>366</v>
      </c>
      <c r="N8" s="414"/>
      <c r="U8" s="161"/>
      <c r="V8" s="162" t="s">
        <v>255</v>
      </c>
      <c r="W8" s="156"/>
      <c r="X8" s="156"/>
      <c r="Y8" s="156"/>
      <c r="Z8" s="156"/>
      <c r="AA8" s="156"/>
      <c r="AB8" s="161"/>
      <c r="AC8" s="161"/>
      <c r="AD8" s="161"/>
      <c r="AE8" s="161"/>
    </row>
    <row r="9" spans="1:36" s="3" customFormat="1" ht="69.75" x14ac:dyDescent="0.4">
      <c r="A9" s="416"/>
      <c r="B9" s="411"/>
      <c r="C9" s="411"/>
      <c r="D9" s="411"/>
      <c r="E9" s="411"/>
      <c r="F9" s="411"/>
      <c r="G9" s="430"/>
      <c r="H9" s="411"/>
      <c r="I9" s="425"/>
      <c r="J9" s="411"/>
      <c r="K9" s="411"/>
      <c r="L9" s="411"/>
      <c r="M9" s="218" t="s">
        <v>356</v>
      </c>
      <c r="N9" s="183" t="s">
        <v>119</v>
      </c>
      <c r="O9" s="420" t="s">
        <v>18</v>
      </c>
      <c r="P9" s="420"/>
      <c r="U9" s="161"/>
      <c r="V9" s="162" t="s">
        <v>263</v>
      </c>
      <c r="W9" s="156"/>
      <c r="X9" s="156"/>
      <c r="Y9" s="156"/>
      <c r="Z9" s="156"/>
      <c r="AA9" s="156"/>
      <c r="AB9" s="161"/>
      <c r="AC9" s="161"/>
      <c r="AD9" s="161"/>
      <c r="AE9" s="161"/>
    </row>
    <row r="10" spans="1:36" s="3" customFormat="1" ht="63" x14ac:dyDescent="0.4">
      <c r="A10" s="312" t="s">
        <v>402</v>
      </c>
      <c r="B10" s="52" t="s">
        <v>478</v>
      </c>
      <c r="C10" s="52" t="s">
        <v>479</v>
      </c>
      <c r="D10" s="53" t="s">
        <v>404</v>
      </c>
      <c r="E10" s="53" t="s">
        <v>405</v>
      </c>
      <c r="F10" s="53" t="s">
        <v>50</v>
      </c>
      <c r="G10" s="53"/>
      <c r="H10" s="53" t="s">
        <v>406</v>
      </c>
      <c r="I10" s="196">
        <f>'Anexo 1.4-Presidência'!H30</f>
        <v>95382.549999999988</v>
      </c>
      <c r="J10" s="196">
        <f>'Anexo 1.4-Presidência'!I30</f>
        <v>88860.9</v>
      </c>
      <c r="K10" s="196">
        <f>'Anexo 1.4-Presidência'!N30</f>
        <v>36949.93</v>
      </c>
      <c r="L10" s="99">
        <f>IFERROR(K10/J10*100,)</f>
        <v>41.581764308036497</v>
      </c>
      <c r="M10" s="198">
        <f>J10-I10</f>
        <v>-6521.6499999999942</v>
      </c>
      <c r="N10" s="101">
        <f>IFERROR(M10/I10*100,)</f>
        <v>-6.8373617606155372</v>
      </c>
      <c r="O10" s="243" t="b">
        <f>D10=[1]FORM.2!$E$10</f>
        <v>0</v>
      </c>
      <c r="P10" s="221" t="str">
        <f>[1]FORM.2!$E$10</f>
        <v>Atividades da Presidência e do Plenário do CAU/TO</v>
      </c>
      <c r="R10" s="3" t="b">
        <f>F10=[1]FORM.2!$G$10</f>
        <v>1</v>
      </c>
      <c r="T10" s="223">
        <v>95382.549999999988</v>
      </c>
      <c r="U10" s="161"/>
      <c r="V10" s="162" t="s">
        <v>265</v>
      </c>
      <c r="W10" s="156"/>
      <c r="X10" s="156"/>
      <c r="Y10" s="156"/>
      <c r="Z10" s="156"/>
      <c r="AA10" s="156"/>
      <c r="AB10" s="161"/>
      <c r="AC10" s="161"/>
      <c r="AD10" s="161"/>
      <c r="AE10" s="161"/>
      <c r="AI10" s="242"/>
    </row>
    <row r="11" spans="1:36" s="3" customFormat="1" ht="75" x14ac:dyDescent="0.4">
      <c r="A11" s="312" t="s">
        <v>567</v>
      </c>
      <c r="B11" s="52" t="s">
        <v>478</v>
      </c>
      <c r="C11" s="52"/>
      <c r="D11" s="53" t="s">
        <v>466</v>
      </c>
      <c r="E11" s="53" t="s">
        <v>464</v>
      </c>
      <c r="F11" s="53" t="s">
        <v>52</v>
      </c>
      <c r="G11" s="53"/>
      <c r="H11" s="53" t="s">
        <v>465</v>
      </c>
      <c r="I11" s="196">
        <f>'Anexo 1.4-CPAFi'!H32</f>
        <v>3501</v>
      </c>
      <c r="J11" s="196">
        <f>'Anexo 1.4-CPAFi'!I32</f>
        <v>10493.42</v>
      </c>
      <c r="K11" s="196"/>
      <c r="L11" s="99">
        <f t="shared" ref="L11:L27" si="0">IFERROR(K11/J11*100,)</f>
        <v>0</v>
      </c>
      <c r="M11" s="198">
        <f t="shared" ref="M11:M26" si="1">J11-I11</f>
        <v>6992.42</v>
      </c>
      <c r="N11" s="101">
        <f t="shared" ref="N11:N27" si="2">IFERROR(M11/I11*100,)</f>
        <v>199.72636389602971</v>
      </c>
      <c r="O11" s="243" t="b">
        <f>D11=[1]FORM.2!$E$11</f>
        <v>0</v>
      </c>
      <c r="P11" s="221" t="str">
        <f>[1]FORM.2!$E$11</f>
        <v>Manter as atividades da Comissão de Planejamento e Finanças do CAU/TO</v>
      </c>
      <c r="R11" s="3" t="b">
        <f>F11=[1]FORM.2!$G$11</f>
        <v>1</v>
      </c>
      <c r="T11" s="223">
        <v>3501</v>
      </c>
      <c r="U11" s="161"/>
      <c r="V11" s="162" t="s">
        <v>256</v>
      </c>
      <c r="W11" s="156"/>
      <c r="X11" s="156"/>
      <c r="Y11" s="156"/>
      <c r="Z11" s="156"/>
      <c r="AA11" s="156"/>
      <c r="AB11" s="161"/>
      <c r="AC11" s="161"/>
      <c r="AD11" s="161"/>
      <c r="AE11" s="161"/>
      <c r="AI11" s="242"/>
    </row>
    <row r="12" spans="1:36" s="3" customFormat="1" ht="76.5" customHeight="1" x14ac:dyDescent="0.4">
      <c r="A12" s="312" t="s">
        <v>568</v>
      </c>
      <c r="B12" s="52" t="s">
        <v>478</v>
      </c>
      <c r="C12" s="52"/>
      <c r="D12" s="53" t="s">
        <v>467</v>
      </c>
      <c r="E12" s="53" t="s">
        <v>408</v>
      </c>
      <c r="F12" s="53" t="s">
        <v>47</v>
      </c>
      <c r="G12" s="53"/>
      <c r="H12" s="53" t="s">
        <v>409</v>
      </c>
      <c r="I12" s="196">
        <f>'Anexo 1.4-CEDEP'!H32</f>
        <v>18245.419999999998</v>
      </c>
      <c r="J12" s="196">
        <f>'Anexo 1.4-CEDEP'!I32</f>
        <v>16916.09</v>
      </c>
      <c r="K12" s="196"/>
      <c r="L12" s="99">
        <f t="shared" si="0"/>
        <v>0</v>
      </c>
      <c r="M12" s="198">
        <f t="shared" si="1"/>
        <v>-1329.3299999999981</v>
      </c>
      <c r="N12" s="101">
        <f t="shared" si="2"/>
        <v>-7.2858284435217069</v>
      </c>
      <c r="O12" s="243" t="b">
        <f>D12=[1]FORM.2!$E$12</f>
        <v>0</v>
      </c>
      <c r="P12" s="221" t="str">
        <f>[1]FORM.2!$E$12</f>
        <v>Manter as atividades da Comissão de Ética e Disciplina e  Exercício Profissional - CEDEP</v>
      </c>
      <c r="R12" s="3" t="b">
        <f>F12=[1]FORM.2!$G$12</f>
        <v>1</v>
      </c>
      <c r="T12" s="223">
        <v>18245.419999999998</v>
      </c>
      <c r="U12" s="161"/>
      <c r="V12" s="162" t="s">
        <v>266</v>
      </c>
      <c r="W12" s="156"/>
      <c r="X12" s="156"/>
      <c r="Y12" s="156"/>
      <c r="Z12" s="156"/>
      <c r="AA12" s="156"/>
      <c r="AB12" s="161"/>
      <c r="AC12" s="161"/>
      <c r="AD12" s="161"/>
      <c r="AE12" s="161"/>
      <c r="AI12" s="242"/>
    </row>
    <row r="13" spans="1:36" s="3" customFormat="1" ht="81" customHeight="1" x14ac:dyDescent="0.4">
      <c r="A13" s="312" t="s">
        <v>569</v>
      </c>
      <c r="B13" s="52" t="s">
        <v>478</v>
      </c>
      <c r="C13" s="52"/>
      <c r="D13" s="53" t="s">
        <v>468</v>
      </c>
      <c r="E13" s="53" t="s">
        <v>506</v>
      </c>
      <c r="F13" s="53" t="s">
        <v>326</v>
      </c>
      <c r="G13" s="53"/>
      <c r="H13" s="53" t="s">
        <v>412</v>
      </c>
      <c r="I13" s="196">
        <f>'Anexo 1.4-CEF'!H32</f>
        <v>21483.09</v>
      </c>
      <c r="J13" s="196">
        <f>'Anexo 1.4-CEF'!I32</f>
        <v>23658.03</v>
      </c>
      <c r="K13" s="196"/>
      <c r="L13" s="99">
        <f t="shared" si="0"/>
        <v>0</v>
      </c>
      <c r="M13" s="198">
        <f t="shared" si="1"/>
        <v>2174.9399999999987</v>
      </c>
      <c r="N13" s="101">
        <f t="shared" si="2"/>
        <v>10.12396261431665</v>
      </c>
      <c r="O13" s="244" t="b">
        <f>D13=[1]FORM.2!$E$13</f>
        <v>0</v>
      </c>
      <c r="P13" s="221" t="str">
        <f>[1]FORM.2!$E$13</f>
        <v>Manter as atividades da Comissão de Ensino e Formação do CAU/TO</v>
      </c>
      <c r="R13" s="3" t="b">
        <f>F13=[1]FORM.2!$G$13</f>
        <v>1</v>
      </c>
      <c r="T13" s="223">
        <v>21483.09</v>
      </c>
      <c r="U13" s="161"/>
      <c r="V13" s="162" t="s">
        <v>291</v>
      </c>
      <c r="W13" s="156"/>
      <c r="X13" s="156"/>
      <c r="Y13" s="156"/>
      <c r="Z13" s="156"/>
      <c r="AA13" s="156"/>
      <c r="AB13" s="161"/>
      <c r="AC13" s="161"/>
      <c r="AD13" s="161"/>
      <c r="AE13" s="161"/>
      <c r="AI13" s="242"/>
    </row>
    <row r="14" spans="1:36" s="3" customFormat="1" ht="75" x14ac:dyDescent="0.4">
      <c r="A14" s="312" t="s">
        <v>570</v>
      </c>
      <c r="B14" s="52" t="s">
        <v>478</v>
      </c>
      <c r="C14" s="52"/>
      <c r="D14" s="53" t="s">
        <v>524</v>
      </c>
      <c r="E14" s="53" t="s">
        <v>414</v>
      </c>
      <c r="F14" s="53" t="s">
        <v>315</v>
      </c>
      <c r="G14" s="53"/>
      <c r="H14" s="53" t="s">
        <v>415</v>
      </c>
      <c r="I14" s="196">
        <f>'Anexo 1.4-CPPUA'!H26</f>
        <v>16663.309999999998</v>
      </c>
      <c r="J14" s="196">
        <f>'Anexo 1.4-CPPUA'!I26</f>
        <v>10135</v>
      </c>
      <c r="K14" s="196"/>
      <c r="L14" s="99"/>
      <c r="M14" s="198"/>
      <c r="N14" s="101"/>
      <c r="O14" s="244" t="b">
        <f>D14=[1]FORM.2!$E$14</f>
        <v>0</v>
      </c>
      <c r="P14" s="221" t="str">
        <f>[1]FORM.2!$E$14</f>
        <v>Manter as atividades da Comissão de Política Urbana e  Ambiental - CPUA</v>
      </c>
      <c r="R14" s="3" t="b">
        <f>F14=[1]FORM.2!$G$14</f>
        <v>0</v>
      </c>
      <c r="T14" s="223">
        <v>16663.309999999998</v>
      </c>
      <c r="U14" s="161"/>
      <c r="V14" s="162"/>
      <c r="W14" s="156"/>
      <c r="X14" s="156"/>
      <c r="Y14" s="156"/>
      <c r="Z14" s="156"/>
      <c r="AA14" s="156"/>
      <c r="AB14" s="161"/>
      <c r="AC14" s="161"/>
      <c r="AD14" s="161"/>
      <c r="AE14" s="161"/>
      <c r="AI14" s="242"/>
      <c r="AJ14" s="300" t="s">
        <v>566</v>
      </c>
    </row>
    <row r="15" spans="1:36" s="199" customFormat="1" ht="76.5" customHeight="1" x14ac:dyDescent="0.4">
      <c r="A15" s="313" t="s">
        <v>397</v>
      </c>
      <c r="B15" s="52" t="s">
        <v>478</v>
      </c>
      <c r="C15" s="195" t="s">
        <v>479</v>
      </c>
      <c r="D15" s="196" t="s">
        <v>400</v>
      </c>
      <c r="E15" s="196" t="s">
        <v>399</v>
      </c>
      <c r="F15" s="196" t="s">
        <v>41</v>
      </c>
      <c r="G15" s="196"/>
      <c r="H15" s="196" t="s">
        <v>401</v>
      </c>
      <c r="I15" s="196">
        <f>'Anexo 1.4-Ger Tec Fisc'!H31</f>
        <v>277585.00999999995</v>
      </c>
      <c r="J15" s="196">
        <f>'Anexo 1.4-Ger Tec Fisc'!I31</f>
        <v>281764.95999999996</v>
      </c>
      <c r="K15" s="196">
        <f>'Anexo 1.4-Ger Tec Fisc'!N31</f>
        <v>129565.98</v>
      </c>
      <c r="L15" s="197">
        <f t="shared" si="0"/>
        <v>45.983709258951158</v>
      </c>
      <c r="M15" s="198">
        <f t="shared" si="1"/>
        <v>4179.9500000000116</v>
      </c>
      <c r="N15" s="246">
        <f t="shared" si="2"/>
        <v>1.5058269897210992</v>
      </c>
      <c r="O15" s="245" t="b">
        <f>D15=[1]FORM.2!$E$9</f>
        <v>0</v>
      </c>
      <c r="P15" s="222" t="str">
        <f>[1]FORM.2!$E$9</f>
        <v>Manter e desenvolver as atividades de Fiscalização do CAU/TO</v>
      </c>
      <c r="R15" s="199" t="b">
        <f>F15=[1]FORM.2!$G$9</f>
        <v>1</v>
      </c>
      <c r="T15" s="223">
        <v>277585.00999999995</v>
      </c>
      <c r="V15" s="200" t="s">
        <v>257</v>
      </c>
      <c r="W15" s="201"/>
      <c r="X15" s="201"/>
      <c r="Y15" s="201"/>
      <c r="Z15" s="201"/>
      <c r="AA15" s="201"/>
      <c r="AI15" s="242"/>
    </row>
    <row r="16" spans="1:36" s="3" customFormat="1" ht="63" x14ac:dyDescent="0.4">
      <c r="A16" s="312" t="s">
        <v>571</v>
      </c>
      <c r="B16" s="52" t="s">
        <v>478</v>
      </c>
      <c r="C16" s="52" t="s">
        <v>479</v>
      </c>
      <c r="D16" s="53" t="s">
        <v>469</v>
      </c>
      <c r="E16" s="53" t="s">
        <v>395</v>
      </c>
      <c r="F16" s="53" t="s">
        <v>50</v>
      </c>
      <c r="G16" s="53"/>
      <c r="H16" s="53" t="s">
        <v>396</v>
      </c>
      <c r="I16" s="196">
        <f>'Anexo 1.4-Ger Adm Finan'!H33</f>
        <v>464223.04000000004</v>
      </c>
      <c r="J16" s="196">
        <f>'Anexo 1.4-Ger Adm Finan'!I33</f>
        <v>489943.95</v>
      </c>
      <c r="K16" s="196">
        <f>'Anexo 1.4-Ger Adm Finan'!N33</f>
        <v>155765.47500000001</v>
      </c>
      <c r="L16" s="99">
        <f t="shared" si="0"/>
        <v>31.792509122727203</v>
      </c>
      <c r="M16" s="198">
        <f t="shared" si="1"/>
        <v>25720.909999999974</v>
      </c>
      <c r="N16" s="101">
        <f t="shared" si="2"/>
        <v>5.540636242440697</v>
      </c>
      <c r="O16" s="244" t="b">
        <f>D16=[1]FORM.2!$E$8</f>
        <v>0</v>
      </c>
      <c r="P16" s="221" t="str">
        <f>[1]FORM.2!$E$8</f>
        <v>Manutenção da estrutura física e administrativa do CAU/TO</v>
      </c>
      <c r="R16" s="3" t="b">
        <f>F16=[1]FORM.2!$G$8</f>
        <v>1</v>
      </c>
      <c r="T16" s="223">
        <v>464223.04000000004</v>
      </c>
      <c r="U16" s="161"/>
      <c r="V16" s="162" t="s">
        <v>267</v>
      </c>
      <c r="W16" s="156"/>
      <c r="X16" s="156"/>
      <c r="Y16" s="156"/>
      <c r="Z16" s="156"/>
      <c r="AA16" s="156"/>
      <c r="AB16" s="161"/>
      <c r="AC16" s="161"/>
      <c r="AD16" s="161"/>
      <c r="AE16" s="161"/>
      <c r="AI16" s="242"/>
    </row>
    <row r="17" spans="1:35" s="3" customFormat="1" ht="63" x14ac:dyDescent="0.4">
      <c r="A17" s="312" t="s">
        <v>571</v>
      </c>
      <c r="B17" s="52" t="s">
        <v>478</v>
      </c>
      <c r="C17" s="52" t="s">
        <v>479</v>
      </c>
      <c r="D17" s="53" t="s">
        <v>417</v>
      </c>
      <c r="E17" s="53" t="s">
        <v>418</v>
      </c>
      <c r="F17" s="53" t="s">
        <v>301</v>
      </c>
      <c r="G17" s="53"/>
      <c r="H17" s="53" t="s">
        <v>548</v>
      </c>
      <c r="I17" s="196">
        <f>'Anexo 1.4-Atendimento'!H30</f>
        <v>137147.14000000001</v>
      </c>
      <c r="J17" s="196">
        <f>'Anexo 1.4-Atendimento'!I30</f>
        <v>130748.5</v>
      </c>
      <c r="K17" s="196">
        <f>'Anexo 1.4-Atendimento'!N30</f>
        <v>48080.25</v>
      </c>
      <c r="L17" s="99">
        <f t="shared" si="0"/>
        <v>36.773079614680093</v>
      </c>
      <c r="M17" s="198">
        <f t="shared" si="1"/>
        <v>-6398.640000000014</v>
      </c>
      <c r="N17" s="101">
        <f t="shared" si="2"/>
        <v>-4.6655292994079307</v>
      </c>
      <c r="O17" s="3" t="b">
        <f>D17=[1]FORM.2!E15</f>
        <v>1</v>
      </c>
      <c r="R17" s="3" t="b">
        <f>F17=[1]FORM.2!G15</f>
        <v>1</v>
      </c>
      <c r="T17" s="223">
        <v>137147.14000000001</v>
      </c>
      <c r="U17" s="161"/>
      <c r="V17" s="162" t="s">
        <v>258</v>
      </c>
      <c r="W17" s="156"/>
      <c r="X17" s="156"/>
      <c r="Y17" s="156"/>
      <c r="Z17" s="156"/>
      <c r="AA17" s="156"/>
      <c r="AB17" s="161"/>
      <c r="AC17" s="161"/>
      <c r="AD17" s="161"/>
      <c r="AE17" s="161"/>
      <c r="AI17" s="242"/>
    </row>
    <row r="18" spans="1:35" s="3" customFormat="1" ht="81" customHeight="1" x14ac:dyDescent="0.4">
      <c r="A18" s="312" t="s">
        <v>571</v>
      </c>
      <c r="B18" s="52" t="s">
        <v>478</v>
      </c>
      <c r="C18" s="52"/>
      <c r="D18" s="53" t="s">
        <v>419</v>
      </c>
      <c r="E18" s="53" t="s">
        <v>420</v>
      </c>
      <c r="F18" s="53" t="s">
        <v>46</v>
      </c>
      <c r="G18" s="53"/>
      <c r="H18" s="53" t="s">
        <v>549</v>
      </c>
      <c r="I18" s="196">
        <f>'Anexo 1.4-Comunicação'!H31</f>
        <v>42871.4</v>
      </c>
      <c r="J18" s="196">
        <f>'Anexo 1.4-Comunicação'!I31</f>
        <v>42813</v>
      </c>
      <c r="K18" s="196"/>
      <c r="L18" s="99">
        <f t="shared" si="0"/>
        <v>0</v>
      </c>
      <c r="M18" s="198">
        <f t="shared" si="1"/>
        <v>-58.400000000001455</v>
      </c>
      <c r="N18" s="101">
        <f t="shared" si="2"/>
        <v>-0.13622135036411562</v>
      </c>
      <c r="O18" s="3" t="b">
        <f>D18=[1]FORM.2!E16</f>
        <v>1</v>
      </c>
      <c r="R18" s="3" t="b">
        <f>F18=[1]FORM.2!G16</f>
        <v>1</v>
      </c>
      <c r="T18" s="223">
        <v>42871.399999999994</v>
      </c>
      <c r="U18" s="161"/>
      <c r="V18" s="162" t="s">
        <v>259</v>
      </c>
      <c r="W18" s="156"/>
      <c r="X18" s="156"/>
      <c r="Y18" s="156"/>
      <c r="Z18" s="156"/>
      <c r="AA18" s="156"/>
      <c r="AB18" s="161"/>
      <c r="AC18" s="161"/>
      <c r="AD18" s="161"/>
      <c r="AE18" s="161"/>
      <c r="AI18" s="242"/>
    </row>
    <row r="19" spans="1:35" s="3" customFormat="1" ht="63" x14ac:dyDescent="0.4">
      <c r="A19" s="312" t="s">
        <v>571</v>
      </c>
      <c r="B19" s="52" t="s">
        <v>478</v>
      </c>
      <c r="C19" s="52"/>
      <c r="D19" s="53" t="s">
        <v>421</v>
      </c>
      <c r="E19" s="53" t="s">
        <v>422</v>
      </c>
      <c r="F19" s="53" t="s">
        <v>51</v>
      </c>
      <c r="G19" s="53"/>
      <c r="H19" s="53" t="s">
        <v>550</v>
      </c>
      <c r="I19" s="196">
        <f>'Anexo 1.4-Capacitação'!H30</f>
        <v>20424</v>
      </c>
      <c r="J19" s="196">
        <f>'Anexo 1.4-Capacitação'!I30</f>
        <v>21257.370000000003</v>
      </c>
      <c r="K19" s="196"/>
      <c r="L19" s="99">
        <f t="shared" si="0"/>
        <v>0</v>
      </c>
      <c r="M19" s="198">
        <f t="shared" si="1"/>
        <v>833.37000000000262</v>
      </c>
      <c r="N19" s="101">
        <f t="shared" si="2"/>
        <v>4.0803466509988375</v>
      </c>
      <c r="O19" s="3" t="b">
        <f>D19=[1]FORM.2!E17</f>
        <v>1</v>
      </c>
      <c r="R19" s="3" t="b">
        <f>F19=[1]FORM.2!G17</f>
        <v>1</v>
      </c>
      <c r="T19" s="223">
        <v>20424</v>
      </c>
      <c r="U19" s="161"/>
      <c r="V19" s="162" t="s">
        <v>268</v>
      </c>
      <c r="W19" s="156"/>
      <c r="X19" s="156"/>
      <c r="Y19" s="156"/>
      <c r="Z19" s="156"/>
      <c r="AA19" s="156"/>
      <c r="AB19" s="161"/>
      <c r="AC19" s="161"/>
      <c r="AD19" s="161"/>
      <c r="AE19" s="161"/>
      <c r="AI19" s="242"/>
    </row>
    <row r="20" spans="1:35" s="3" customFormat="1" ht="63" x14ac:dyDescent="0.4">
      <c r="A20" s="312" t="s">
        <v>402</v>
      </c>
      <c r="B20" s="52" t="s">
        <v>478</v>
      </c>
      <c r="C20" s="52"/>
      <c r="D20" s="53" t="s">
        <v>423</v>
      </c>
      <c r="E20" s="53" t="s">
        <v>424</v>
      </c>
      <c r="F20" s="53" t="s">
        <v>48</v>
      </c>
      <c r="G20" s="53"/>
      <c r="H20" s="53" t="s">
        <v>551</v>
      </c>
      <c r="I20" s="196">
        <f>'Anexo 1.4-ATHIS'!H31</f>
        <v>24000</v>
      </c>
      <c r="J20" s="196">
        <f>'Anexo 1.4-ATHIS'!I31</f>
        <v>22602</v>
      </c>
      <c r="K20" s="196"/>
      <c r="L20" s="99">
        <f t="shared" si="0"/>
        <v>0</v>
      </c>
      <c r="M20" s="198">
        <f t="shared" si="1"/>
        <v>-1398</v>
      </c>
      <c r="N20" s="101">
        <f t="shared" si="2"/>
        <v>-5.8250000000000002</v>
      </c>
      <c r="O20" s="3" t="b">
        <f>D20=[1]FORM.2!E18</f>
        <v>1</v>
      </c>
      <c r="R20" s="3" t="b">
        <f>F20=[1]FORM.2!G18</f>
        <v>1</v>
      </c>
      <c r="T20" s="223">
        <v>24000</v>
      </c>
      <c r="U20" s="161"/>
      <c r="V20" s="162" t="s">
        <v>269</v>
      </c>
      <c r="W20" s="156"/>
      <c r="X20" s="156"/>
      <c r="Y20" s="156"/>
      <c r="Z20" s="156"/>
      <c r="AA20" s="156"/>
      <c r="AB20" s="161"/>
      <c r="AC20" s="161"/>
      <c r="AD20" s="161"/>
      <c r="AE20" s="161"/>
      <c r="AI20" s="242"/>
    </row>
    <row r="21" spans="1:35" s="3" customFormat="1" ht="42" x14ac:dyDescent="0.4">
      <c r="A21" s="312" t="s">
        <v>571</v>
      </c>
      <c r="B21" s="52" t="s">
        <v>478</v>
      </c>
      <c r="C21" s="52"/>
      <c r="D21" s="53" t="s">
        <v>426</v>
      </c>
      <c r="E21" s="53" t="s">
        <v>427</v>
      </c>
      <c r="F21" s="53" t="s">
        <v>49</v>
      </c>
      <c r="G21" s="53"/>
      <c r="H21" s="53" t="s">
        <v>559</v>
      </c>
      <c r="I21" s="196">
        <f>'Anexo 1.4-Fundo'!H31</f>
        <v>11850</v>
      </c>
      <c r="J21" s="196">
        <f>'Anexo 1.4-Fundo'!I31</f>
        <v>14751</v>
      </c>
      <c r="K21" s="196"/>
      <c r="L21" s="99">
        <f t="shared" si="0"/>
        <v>0</v>
      </c>
      <c r="M21" s="198">
        <f t="shared" si="1"/>
        <v>2901</v>
      </c>
      <c r="N21" s="101">
        <f t="shared" si="2"/>
        <v>24.481012658227851</v>
      </c>
      <c r="O21" s="3" t="b">
        <f>D21=[1]FORM.2!E19</f>
        <v>1</v>
      </c>
      <c r="R21" s="3" t="b">
        <f>F21=[1]FORM.2!G19</f>
        <v>1</v>
      </c>
      <c r="T21" s="223">
        <v>11850</v>
      </c>
      <c r="U21" s="161"/>
      <c r="V21" s="162" t="s">
        <v>260</v>
      </c>
      <c r="W21" s="156"/>
      <c r="X21" s="156"/>
      <c r="Y21" s="156"/>
      <c r="Z21" s="156"/>
      <c r="AA21" s="156"/>
      <c r="AB21" s="161"/>
      <c r="AC21" s="161"/>
      <c r="AD21" s="161"/>
      <c r="AE21" s="161"/>
      <c r="AI21" s="242"/>
    </row>
    <row r="22" spans="1:35" s="3" customFormat="1" ht="84" x14ac:dyDescent="0.4">
      <c r="A22" s="312" t="s">
        <v>571</v>
      </c>
      <c r="B22" s="52" t="s">
        <v>478</v>
      </c>
      <c r="C22" s="52" t="s">
        <v>479</v>
      </c>
      <c r="D22" s="53" t="s">
        <v>428</v>
      </c>
      <c r="E22" s="53" t="s">
        <v>429</v>
      </c>
      <c r="F22" s="53" t="s">
        <v>41</v>
      </c>
      <c r="G22" s="53"/>
      <c r="H22" s="53" t="s">
        <v>553</v>
      </c>
      <c r="I22" s="196">
        <f>'Anexo 1.4-CSC Fiscalização'!H31</f>
        <v>34111.949999999997</v>
      </c>
      <c r="J22" s="196">
        <f>'Anexo 1.4-CSC Fiscalização'!I31</f>
        <v>33303.14</v>
      </c>
      <c r="K22" s="304">
        <f>'Anexo 1.4-CSC Fiscalização'!N31</f>
        <v>33303.14</v>
      </c>
      <c r="L22" s="99">
        <f t="shared" si="0"/>
        <v>100</v>
      </c>
      <c r="M22" s="198">
        <f t="shared" si="1"/>
        <v>-808.80999999999767</v>
      </c>
      <c r="N22" s="101">
        <f t="shared" si="2"/>
        <v>-2.3710459237891639</v>
      </c>
      <c r="O22" s="3" t="b">
        <f>D22=[1]FORM.2!E20</f>
        <v>1</v>
      </c>
      <c r="R22" s="3" t="b">
        <f>F22=[1]FORM.2!G20</f>
        <v>1</v>
      </c>
      <c r="T22" s="223">
        <v>34111.949999999997</v>
      </c>
      <c r="U22" s="161"/>
      <c r="V22" s="162" t="s">
        <v>270</v>
      </c>
      <c r="W22" s="156"/>
      <c r="X22" s="156"/>
      <c r="Y22" s="156"/>
      <c r="Z22" s="156"/>
      <c r="AA22" s="156"/>
      <c r="AB22" s="161"/>
      <c r="AC22" s="161"/>
      <c r="AD22" s="161"/>
      <c r="AE22" s="161"/>
      <c r="AI22" s="242"/>
    </row>
    <row r="23" spans="1:35" s="3" customFormat="1" ht="84" x14ac:dyDescent="0.4">
      <c r="A23" s="312" t="s">
        <v>571</v>
      </c>
      <c r="B23" s="52" t="s">
        <v>478</v>
      </c>
      <c r="C23" s="52" t="s">
        <v>479</v>
      </c>
      <c r="D23" s="53" t="s">
        <v>430</v>
      </c>
      <c r="E23" s="53" t="s">
        <v>431</v>
      </c>
      <c r="F23" s="53" t="s">
        <v>301</v>
      </c>
      <c r="G23" s="53"/>
      <c r="H23" s="53" t="s">
        <v>554</v>
      </c>
      <c r="I23" s="196">
        <f>'Anexo 1.4-CSC Atendimento'!H31</f>
        <v>6305.05</v>
      </c>
      <c r="J23" s="196">
        <f>'Anexo 1.4-CSC Atendimento'!I31</f>
        <v>6580.86</v>
      </c>
      <c r="K23" s="196">
        <f>'Anexo 1.4-CSC Atendimento'!N31</f>
        <v>6580.86</v>
      </c>
      <c r="L23" s="99">
        <f t="shared" si="0"/>
        <v>100</v>
      </c>
      <c r="M23" s="198">
        <f t="shared" si="1"/>
        <v>275.80999999999949</v>
      </c>
      <c r="N23" s="101">
        <f t="shared" si="2"/>
        <v>4.3744300203804807</v>
      </c>
      <c r="O23" s="3" t="b">
        <f>D23=[1]FORM.2!E21</f>
        <v>1</v>
      </c>
      <c r="R23" s="3" t="b">
        <f>F23=[1]FORM.2!G21</f>
        <v>1</v>
      </c>
      <c r="T23" s="223">
        <v>6305.05</v>
      </c>
      <c r="U23" s="161"/>
      <c r="V23" s="162" t="s">
        <v>261</v>
      </c>
      <c r="W23" s="156"/>
      <c r="X23" s="156"/>
      <c r="Y23" s="156"/>
      <c r="Z23" s="156"/>
      <c r="AA23" s="156"/>
      <c r="AB23" s="161"/>
      <c r="AC23" s="161"/>
      <c r="AD23" s="161"/>
      <c r="AE23" s="161"/>
      <c r="AI23" s="242"/>
    </row>
    <row r="24" spans="1:35" s="3" customFormat="1" ht="81" customHeight="1" x14ac:dyDescent="0.4">
      <c r="A24" s="312" t="s">
        <v>571</v>
      </c>
      <c r="B24" s="52" t="s">
        <v>478</v>
      </c>
      <c r="C24" s="52"/>
      <c r="D24" s="53" t="s">
        <v>432</v>
      </c>
      <c r="E24" s="53" t="s">
        <v>470</v>
      </c>
      <c r="F24" s="53" t="s">
        <v>53</v>
      </c>
      <c r="G24" s="53"/>
      <c r="H24" s="53" t="s">
        <v>555</v>
      </c>
      <c r="I24" s="196">
        <f>'Anexo 1.4-CSC Siscaf'!H31</f>
        <v>4622.04</v>
      </c>
      <c r="J24" s="196">
        <f>'Anexo 1.4-CSC Siscaf'!I31</f>
        <v>4772</v>
      </c>
      <c r="K24" s="196"/>
      <c r="L24" s="99">
        <f t="shared" si="0"/>
        <v>0</v>
      </c>
      <c r="M24" s="198">
        <f t="shared" si="1"/>
        <v>149.96000000000004</v>
      </c>
      <c r="N24" s="101">
        <f t="shared" si="2"/>
        <v>3.2444548294692392</v>
      </c>
      <c r="O24" s="3" t="b">
        <f>D24=[1]FORM.2!E22</f>
        <v>1</v>
      </c>
      <c r="R24" s="3" t="b">
        <f>F24=[1]FORM.2!G22</f>
        <v>1</v>
      </c>
      <c r="T24" s="223">
        <v>4622.04</v>
      </c>
      <c r="U24" s="161"/>
      <c r="V24" s="162" t="s">
        <v>262</v>
      </c>
      <c r="W24" s="156"/>
      <c r="X24" s="156"/>
      <c r="Y24" s="156"/>
      <c r="Z24" s="156"/>
      <c r="AA24" s="156"/>
      <c r="AB24" s="161"/>
      <c r="AC24" s="161"/>
      <c r="AD24" s="161"/>
      <c r="AE24" s="161"/>
      <c r="AI24" s="242"/>
    </row>
    <row r="25" spans="1:35" s="3" customFormat="1" ht="65.25" customHeight="1" x14ac:dyDescent="0.25">
      <c r="A25" s="312" t="s">
        <v>402</v>
      </c>
      <c r="B25" s="52" t="s">
        <v>477</v>
      </c>
      <c r="C25" s="52"/>
      <c r="D25" s="53" t="s">
        <v>433</v>
      </c>
      <c r="E25" s="53" t="s">
        <v>434</v>
      </c>
      <c r="F25" s="53" t="s">
        <v>53</v>
      </c>
      <c r="G25" s="53"/>
      <c r="H25" s="53" t="s">
        <v>435</v>
      </c>
      <c r="I25" s="196">
        <f>'Anexo 1.4-Sede'!H31</f>
        <v>794959</v>
      </c>
      <c r="J25" s="196">
        <f>'Anexo 1.4-Sede'!I31</f>
        <v>792000</v>
      </c>
      <c r="K25" s="196"/>
      <c r="L25" s="99">
        <f t="shared" si="0"/>
        <v>0</v>
      </c>
      <c r="M25" s="198">
        <f t="shared" si="1"/>
        <v>-2959</v>
      </c>
      <c r="N25" s="101">
        <f t="shared" si="2"/>
        <v>-0.37222045413662846</v>
      </c>
      <c r="O25" s="3" t="b">
        <f>D25=[1]FORM.2!E23</f>
        <v>1</v>
      </c>
      <c r="R25" s="3" t="b">
        <f>F25=[1]FORM.2!G23</f>
        <v>1</v>
      </c>
      <c r="T25" s="223">
        <v>794959</v>
      </c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I25" s="242"/>
    </row>
    <row r="26" spans="1:35" s="3" customFormat="1" ht="50.25" customHeight="1" x14ac:dyDescent="0.25">
      <c r="A26" s="312" t="s">
        <v>545</v>
      </c>
      <c r="B26" s="52" t="s">
        <v>477</v>
      </c>
      <c r="C26" s="52"/>
      <c r="D26" s="53" t="s">
        <v>475</v>
      </c>
      <c r="E26" s="53" t="s">
        <v>474</v>
      </c>
      <c r="F26" s="53" t="s">
        <v>50</v>
      </c>
      <c r="G26" s="53"/>
      <c r="H26" s="53" t="s">
        <v>544</v>
      </c>
      <c r="I26" s="196">
        <f>'Anexo 1.4-Comissão Eleitoral'!H31</f>
        <v>0</v>
      </c>
      <c r="J26" s="196">
        <f>'Anexo 1.4-Comissão Eleitoral'!I31</f>
        <v>4000</v>
      </c>
      <c r="K26" s="196"/>
      <c r="L26" s="99">
        <f t="shared" si="0"/>
        <v>0</v>
      </c>
      <c r="M26" s="198">
        <f t="shared" si="1"/>
        <v>4000</v>
      </c>
      <c r="N26" s="101">
        <f t="shared" si="2"/>
        <v>0</v>
      </c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I26" s="242"/>
    </row>
    <row r="27" spans="1:35" s="3" customFormat="1" ht="36" customHeight="1" x14ac:dyDescent="0.25">
      <c r="A27" s="312" t="s">
        <v>571</v>
      </c>
      <c r="B27" s="52" t="s">
        <v>478</v>
      </c>
      <c r="C27" s="52"/>
      <c r="D27" s="53" t="s">
        <v>476</v>
      </c>
      <c r="E27" s="53" t="s">
        <v>494</v>
      </c>
      <c r="F27" s="53" t="s">
        <v>49</v>
      </c>
      <c r="G27" s="53"/>
      <c r="H27" s="53" t="s">
        <v>546</v>
      </c>
      <c r="I27" s="196">
        <f>'Anexo 1.4-Reserva Contingência'!H31</f>
        <v>0</v>
      </c>
      <c r="J27" s="196">
        <f>'Anexo 1.4-Reserva Contingência'!I31</f>
        <v>10000</v>
      </c>
      <c r="K27" s="196"/>
      <c r="L27" s="99">
        <f t="shared" si="0"/>
        <v>0</v>
      </c>
      <c r="M27" s="198">
        <f>J27-I27</f>
        <v>10000</v>
      </c>
      <c r="N27" s="101">
        <f t="shared" si="2"/>
        <v>0</v>
      </c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I27" s="242"/>
    </row>
    <row r="28" spans="1:35" s="3" customFormat="1" ht="21.75" thickBot="1" x14ac:dyDescent="0.3">
      <c r="A28" s="426" t="s">
        <v>19</v>
      </c>
      <c r="B28" s="427"/>
      <c r="C28" s="427"/>
      <c r="D28" s="427"/>
      <c r="E28" s="427"/>
      <c r="F28" s="427"/>
      <c r="G28" s="427"/>
      <c r="H28" s="428"/>
      <c r="I28" s="241">
        <f>SUM(I10:I27)</f>
        <v>1973374</v>
      </c>
      <c r="J28" s="241">
        <f>SUM(J10:J27)</f>
        <v>2004600.2200000002</v>
      </c>
      <c r="K28" s="241">
        <f>SUM(K10:K27)</f>
        <v>410245.63500000001</v>
      </c>
      <c r="L28" s="100">
        <f>IFERROR(K28/J28*100,)</f>
        <v>20.465209516937993</v>
      </c>
      <c r="M28" s="241">
        <f>SUM(M10:M27)</f>
        <v>37754.529999999977</v>
      </c>
      <c r="N28" s="247">
        <f>IFERROR(M28/I28*100,)</f>
        <v>1.9131968901992209</v>
      </c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I28" s="242"/>
    </row>
    <row r="29" spans="1:35" s="3" customFormat="1" ht="12" customHeight="1" x14ac:dyDescent="0.3">
      <c r="A29" s="421" t="s">
        <v>383</v>
      </c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</row>
    <row r="30" spans="1:35" s="3" customFormat="1" ht="21" x14ac:dyDescent="0.25">
      <c r="A30" s="412" t="s">
        <v>103</v>
      </c>
      <c r="B30" s="412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2"/>
      <c r="N30" s="412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</row>
    <row r="31" spans="1:35" s="3" customFormat="1" ht="19.5" customHeight="1" x14ac:dyDescent="0.25">
      <c r="A31" s="423"/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</row>
    <row r="32" spans="1:35" s="3" customFormat="1" ht="10.5" customHeight="1" x14ac:dyDescent="0.25">
      <c r="A32" s="422"/>
      <c r="B32" s="422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</row>
    <row r="33" spans="1:31" s="3" customFormat="1" ht="21" x14ac:dyDescent="0.25">
      <c r="A33" s="412" t="s">
        <v>134</v>
      </c>
      <c r="B33" s="412"/>
      <c r="C33" s="412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412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</row>
    <row r="34" spans="1:31" s="3" customFormat="1" ht="25.5" customHeight="1" x14ac:dyDescent="0.25">
      <c r="A34" s="54" t="str">
        <f>'Anexo_1.1_Limites Estratégicos'!A4:N4</f>
        <v>Anexo 1.1- Limites de Aplicação dos Recursos Estratégicos - Programação 2020</v>
      </c>
      <c r="B34" s="55"/>
      <c r="C34" s="55"/>
      <c r="D34" s="55"/>
      <c r="E34" s="55"/>
      <c r="F34" s="55"/>
      <c r="G34" s="55"/>
      <c r="H34" s="55"/>
      <c r="I34" s="215"/>
      <c r="J34" s="55"/>
      <c r="K34" s="55"/>
      <c r="L34" s="55"/>
      <c r="M34" s="55"/>
      <c r="N34" s="56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</row>
    <row r="35" spans="1:31" s="3" customFormat="1" ht="25.5" customHeight="1" x14ac:dyDescent="0.25">
      <c r="A35" s="57" t="str">
        <f>'Anexo_1.2_Usos e Fontes'!A6</f>
        <v>Anexo 1.2 - Demonstrativo de Usos e Fontes - Programação 2020</v>
      </c>
      <c r="B35" s="7"/>
      <c r="C35" s="7"/>
      <c r="D35" s="7"/>
      <c r="E35" s="7"/>
      <c r="F35" s="7"/>
      <c r="G35" s="7"/>
      <c r="H35" s="7"/>
      <c r="I35" s="216"/>
      <c r="J35" s="7"/>
      <c r="K35" s="7"/>
      <c r="L35" s="7"/>
      <c r="M35" s="7"/>
      <c r="N35" s="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</row>
    <row r="36" spans="1:31" s="3" customFormat="1" ht="25.5" customHeight="1" x14ac:dyDescent="0.25">
      <c r="A36" s="57" t="str">
        <f>'Anexo_1.3_ Elemento de Despesas'!A7:S7</f>
        <v>Anexo 1.3- Aplicações por Projeto/Atividade - por Elemento de Despesa (Consolidado) - Programação 2020</v>
      </c>
      <c r="B36" s="7"/>
      <c r="C36" s="7"/>
      <c r="D36" s="7"/>
      <c r="E36" s="7"/>
      <c r="F36" s="7"/>
      <c r="G36" s="7"/>
      <c r="H36" s="7"/>
      <c r="I36" s="216"/>
      <c r="J36" s="7"/>
      <c r="K36" s="7"/>
      <c r="L36" s="7"/>
      <c r="M36" s="7"/>
      <c r="N36" s="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</row>
    <row r="37" spans="1:31" s="3" customFormat="1" ht="25.5" customHeight="1" x14ac:dyDescent="0.25">
      <c r="A37" s="59" t="str">
        <f>'Anexo 1.4-Ger Adm Finan'!A6:P6</f>
        <v>Anexo 1.4 - Quadro Descritivo de Ações e Metas do Plano de Ação - Programação 2020</v>
      </c>
      <c r="B37" s="60"/>
      <c r="C37" s="60"/>
      <c r="D37" s="60"/>
      <c r="E37" s="60"/>
      <c r="F37" s="60"/>
      <c r="G37" s="60"/>
      <c r="H37" s="60"/>
      <c r="I37" s="217"/>
      <c r="J37" s="60"/>
      <c r="K37" s="60"/>
      <c r="L37" s="60"/>
      <c r="M37" s="60"/>
      <c r="N37" s="61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</row>
    <row r="38" spans="1:31" x14ac:dyDescent="0.25">
      <c r="O38" s="6"/>
    </row>
    <row r="41" spans="1:31" x14ac:dyDescent="0.25">
      <c r="I41" s="194">
        <f>'Anexo_1.2_Usos e Fontes'!D28-'Quadro Geral'!J28</f>
        <v>0</v>
      </c>
    </row>
    <row r="42" spans="1:31" x14ac:dyDescent="0.25">
      <c r="K42" s="202">
        <f>'Anexo_1.2_Usos e Fontes'!D24-'Quadro Geral'!K28</f>
        <v>-0.4150000000372529</v>
      </c>
    </row>
  </sheetData>
  <sheetProtection formatCells="0" formatRows="0" insertRows="0" deleteRows="0"/>
  <autoFilter ref="A9:AH30">
    <filterColumn colId="14" showButton="0"/>
  </autoFilter>
  <mergeCells count="24">
    <mergeCell ref="O9:P9"/>
    <mergeCell ref="A29:N29"/>
    <mergeCell ref="C8:C9"/>
    <mergeCell ref="A32:N32"/>
    <mergeCell ref="A33:N33"/>
    <mergeCell ref="A31:N31"/>
    <mergeCell ref="A30:N30"/>
    <mergeCell ref="I8:I9"/>
    <mergeCell ref="J8:J9"/>
    <mergeCell ref="L8:L9"/>
    <mergeCell ref="K8:K9"/>
    <mergeCell ref="A28:H28"/>
    <mergeCell ref="G8:G9"/>
    <mergeCell ref="A3:N3"/>
    <mergeCell ref="H8:H9"/>
    <mergeCell ref="A5:N5"/>
    <mergeCell ref="M8:N8"/>
    <mergeCell ref="A8:A9"/>
    <mergeCell ref="B8:B9"/>
    <mergeCell ref="D8:D9"/>
    <mergeCell ref="F8:F9"/>
    <mergeCell ref="E8:E9"/>
    <mergeCell ref="A4:N4"/>
    <mergeCell ref="A7:N7"/>
  </mergeCells>
  <dataValidations count="1">
    <dataValidation type="list" allowBlank="1" showInputMessage="1" showErrorMessage="1" sqref="G10:G27">
      <formula1>$V$8:$V$24</formula1>
    </dataValidation>
  </dataValidations>
  <pageMargins left="0.43307086614173229" right="0.23622047244094491" top="0.27559055118110237" bottom="0.15748031496062992" header="0.31496062992125984" footer="0.31496062992125984"/>
  <pageSetup paperSize="9" scale="31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Resumo!$Q$1:$Q$16</xm:f>
          </x14:formula1>
          <xm:sqref>F10:F27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rgb="FF92D050"/>
  </sheetPr>
  <dimension ref="A2:AD37"/>
  <sheetViews>
    <sheetView zoomScale="66" zoomScaleNormal="66" workbookViewId="0">
      <selection activeCell="J21" sqref="J21"/>
    </sheetView>
  </sheetViews>
  <sheetFormatPr defaultRowHeight="15" x14ac:dyDescent="0.25"/>
  <cols>
    <col min="1" max="1" width="9.140625" style="9"/>
    <col min="2" max="2" width="35.5703125" style="9" customWidth="1"/>
    <col min="3" max="3" width="35.7109375" style="9" customWidth="1"/>
    <col min="4" max="4" width="21.5703125" style="9" customWidth="1"/>
    <col min="5" max="5" width="21.28515625" style="9" customWidth="1"/>
    <col min="6" max="6" width="14.5703125" style="9" customWidth="1"/>
    <col min="7" max="8" width="19.140625" style="9" customWidth="1"/>
    <col min="9" max="9" width="10.7109375" style="9" customWidth="1"/>
    <col min="10" max="10" width="70.140625" style="9" customWidth="1"/>
    <col min="11" max="11" width="34.140625" style="9" customWidth="1"/>
    <col min="12" max="12" width="18.5703125" style="9" customWidth="1"/>
    <col min="13" max="13" width="20" style="9" customWidth="1"/>
    <col min="14" max="14" width="17.42578125" style="9" customWidth="1"/>
    <col min="15" max="16" width="17.85546875" style="9" customWidth="1"/>
    <col min="17" max="17" width="16.7109375" style="9" customWidth="1"/>
    <col min="18" max="258" width="9.140625" style="9"/>
    <col min="259" max="259" width="35.5703125" style="9" customWidth="1"/>
    <col min="260" max="260" width="23" style="9" customWidth="1"/>
    <col min="261" max="261" width="17.7109375" style="9" customWidth="1"/>
    <col min="262" max="262" width="18.42578125" style="9" customWidth="1"/>
    <col min="263" max="264" width="13.140625" style="9" customWidth="1"/>
    <col min="265" max="265" width="10.7109375" style="9" customWidth="1"/>
    <col min="266" max="266" width="40.85546875" style="9" customWidth="1"/>
    <col min="267" max="267" width="34.140625" style="9" customWidth="1"/>
    <col min="268" max="268" width="16" style="9" customWidth="1"/>
    <col min="269" max="269" width="15.7109375" style="9" customWidth="1"/>
    <col min="270" max="270" width="17.42578125" style="9" customWidth="1"/>
    <col min="271" max="271" width="10.7109375" style="9" customWidth="1"/>
    <col min="272" max="272" width="13" style="9" customWidth="1"/>
    <col min="273" max="273" width="16.7109375" style="9" customWidth="1"/>
    <col min="274" max="514" width="9.140625" style="9"/>
    <col min="515" max="515" width="35.5703125" style="9" customWidth="1"/>
    <col min="516" max="516" width="23" style="9" customWidth="1"/>
    <col min="517" max="517" width="17.7109375" style="9" customWidth="1"/>
    <col min="518" max="518" width="18.42578125" style="9" customWidth="1"/>
    <col min="519" max="520" width="13.140625" style="9" customWidth="1"/>
    <col min="521" max="521" width="10.7109375" style="9" customWidth="1"/>
    <col min="522" max="522" width="40.85546875" style="9" customWidth="1"/>
    <col min="523" max="523" width="34.140625" style="9" customWidth="1"/>
    <col min="524" max="524" width="16" style="9" customWidth="1"/>
    <col min="525" max="525" width="15.7109375" style="9" customWidth="1"/>
    <col min="526" max="526" width="17.42578125" style="9" customWidth="1"/>
    <col min="527" max="527" width="10.7109375" style="9" customWidth="1"/>
    <col min="528" max="528" width="13" style="9" customWidth="1"/>
    <col min="529" max="529" width="16.7109375" style="9" customWidth="1"/>
    <col min="530" max="770" width="9.140625" style="9"/>
    <col min="771" max="771" width="35.5703125" style="9" customWidth="1"/>
    <col min="772" max="772" width="23" style="9" customWidth="1"/>
    <col min="773" max="773" width="17.7109375" style="9" customWidth="1"/>
    <col min="774" max="774" width="18.42578125" style="9" customWidth="1"/>
    <col min="775" max="776" width="13.140625" style="9" customWidth="1"/>
    <col min="777" max="777" width="10.7109375" style="9" customWidth="1"/>
    <col min="778" max="778" width="40.85546875" style="9" customWidth="1"/>
    <col min="779" max="779" width="34.140625" style="9" customWidth="1"/>
    <col min="780" max="780" width="16" style="9" customWidth="1"/>
    <col min="781" max="781" width="15.7109375" style="9" customWidth="1"/>
    <col min="782" max="782" width="17.42578125" style="9" customWidth="1"/>
    <col min="783" max="783" width="10.7109375" style="9" customWidth="1"/>
    <col min="784" max="784" width="13" style="9" customWidth="1"/>
    <col min="785" max="785" width="16.7109375" style="9" customWidth="1"/>
    <col min="786" max="1026" width="9.140625" style="9"/>
    <col min="1027" max="1027" width="35.5703125" style="9" customWidth="1"/>
    <col min="1028" max="1028" width="23" style="9" customWidth="1"/>
    <col min="1029" max="1029" width="17.7109375" style="9" customWidth="1"/>
    <col min="1030" max="1030" width="18.42578125" style="9" customWidth="1"/>
    <col min="1031" max="1032" width="13.140625" style="9" customWidth="1"/>
    <col min="1033" max="1033" width="10.7109375" style="9" customWidth="1"/>
    <col min="1034" max="1034" width="40.85546875" style="9" customWidth="1"/>
    <col min="1035" max="1035" width="34.140625" style="9" customWidth="1"/>
    <col min="1036" max="1036" width="16" style="9" customWidth="1"/>
    <col min="1037" max="1037" width="15.7109375" style="9" customWidth="1"/>
    <col min="1038" max="1038" width="17.42578125" style="9" customWidth="1"/>
    <col min="1039" max="1039" width="10.7109375" style="9" customWidth="1"/>
    <col min="1040" max="1040" width="13" style="9" customWidth="1"/>
    <col min="1041" max="1041" width="16.7109375" style="9" customWidth="1"/>
    <col min="1042" max="1282" width="9.140625" style="9"/>
    <col min="1283" max="1283" width="35.5703125" style="9" customWidth="1"/>
    <col min="1284" max="1284" width="23" style="9" customWidth="1"/>
    <col min="1285" max="1285" width="17.7109375" style="9" customWidth="1"/>
    <col min="1286" max="1286" width="18.42578125" style="9" customWidth="1"/>
    <col min="1287" max="1288" width="13.140625" style="9" customWidth="1"/>
    <col min="1289" max="1289" width="10.7109375" style="9" customWidth="1"/>
    <col min="1290" max="1290" width="40.85546875" style="9" customWidth="1"/>
    <col min="1291" max="1291" width="34.140625" style="9" customWidth="1"/>
    <col min="1292" max="1292" width="16" style="9" customWidth="1"/>
    <col min="1293" max="1293" width="15.7109375" style="9" customWidth="1"/>
    <col min="1294" max="1294" width="17.42578125" style="9" customWidth="1"/>
    <col min="1295" max="1295" width="10.7109375" style="9" customWidth="1"/>
    <col min="1296" max="1296" width="13" style="9" customWidth="1"/>
    <col min="1297" max="1297" width="16.7109375" style="9" customWidth="1"/>
    <col min="1298" max="1538" width="9.140625" style="9"/>
    <col min="1539" max="1539" width="35.5703125" style="9" customWidth="1"/>
    <col min="1540" max="1540" width="23" style="9" customWidth="1"/>
    <col min="1541" max="1541" width="17.7109375" style="9" customWidth="1"/>
    <col min="1542" max="1542" width="18.42578125" style="9" customWidth="1"/>
    <col min="1543" max="1544" width="13.140625" style="9" customWidth="1"/>
    <col min="1545" max="1545" width="10.7109375" style="9" customWidth="1"/>
    <col min="1546" max="1546" width="40.85546875" style="9" customWidth="1"/>
    <col min="1547" max="1547" width="34.140625" style="9" customWidth="1"/>
    <col min="1548" max="1548" width="16" style="9" customWidth="1"/>
    <col min="1549" max="1549" width="15.7109375" style="9" customWidth="1"/>
    <col min="1550" max="1550" width="17.42578125" style="9" customWidth="1"/>
    <col min="1551" max="1551" width="10.7109375" style="9" customWidth="1"/>
    <col min="1552" max="1552" width="13" style="9" customWidth="1"/>
    <col min="1553" max="1553" width="16.7109375" style="9" customWidth="1"/>
    <col min="1554" max="1794" width="9.140625" style="9"/>
    <col min="1795" max="1795" width="35.5703125" style="9" customWidth="1"/>
    <col min="1796" max="1796" width="23" style="9" customWidth="1"/>
    <col min="1797" max="1797" width="17.7109375" style="9" customWidth="1"/>
    <col min="1798" max="1798" width="18.42578125" style="9" customWidth="1"/>
    <col min="1799" max="1800" width="13.140625" style="9" customWidth="1"/>
    <col min="1801" max="1801" width="10.7109375" style="9" customWidth="1"/>
    <col min="1802" max="1802" width="40.85546875" style="9" customWidth="1"/>
    <col min="1803" max="1803" width="34.140625" style="9" customWidth="1"/>
    <col min="1804" max="1804" width="16" style="9" customWidth="1"/>
    <col min="1805" max="1805" width="15.7109375" style="9" customWidth="1"/>
    <col min="1806" max="1806" width="17.42578125" style="9" customWidth="1"/>
    <col min="1807" max="1807" width="10.7109375" style="9" customWidth="1"/>
    <col min="1808" max="1808" width="13" style="9" customWidth="1"/>
    <col min="1809" max="1809" width="16.7109375" style="9" customWidth="1"/>
    <col min="1810" max="2050" width="9.140625" style="9"/>
    <col min="2051" max="2051" width="35.5703125" style="9" customWidth="1"/>
    <col min="2052" max="2052" width="23" style="9" customWidth="1"/>
    <col min="2053" max="2053" width="17.7109375" style="9" customWidth="1"/>
    <col min="2054" max="2054" width="18.42578125" style="9" customWidth="1"/>
    <col min="2055" max="2056" width="13.140625" style="9" customWidth="1"/>
    <col min="2057" max="2057" width="10.7109375" style="9" customWidth="1"/>
    <col min="2058" max="2058" width="40.85546875" style="9" customWidth="1"/>
    <col min="2059" max="2059" width="34.140625" style="9" customWidth="1"/>
    <col min="2060" max="2060" width="16" style="9" customWidth="1"/>
    <col min="2061" max="2061" width="15.7109375" style="9" customWidth="1"/>
    <col min="2062" max="2062" width="17.42578125" style="9" customWidth="1"/>
    <col min="2063" max="2063" width="10.7109375" style="9" customWidth="1"/>
    <col min="2064" max="2064" width="13" style="9" customWidth="1"/>
    <col min="2065" max="2065" width="16.7109375" style="9" customWidth="1"/>
    <col min="2066" max="2306" width="9.140625" style="9"/>
    <col min="2307" max="2307" width="35.5703125" style="9" customWidth="1"/>
    <col min="2308" max="2308" width="23" style="9" customWidth="1"/>
    <col min="2309" max="2309" width="17.7109375" style="9" customWidth="1"/>
    <col min="2310" max="2310" width="18.42578125" style="9" customWidth="1"/>
    <col min="2311" max="2312" width="13.140625" style="9" customWidth="1"/>
    <col min="2313" max="2313" width="10.7109375" style="9" customWidth="1"/>
    <col min="2314" max="2314" width="40.85546875" style="9" customWidth="1"/>
    <col min="2315" max="2315" width="34.140625" style="9" customWidth="1"/>
    <col min="2316" max="2316" width="16" style="9" customWidth="1"/>
    <col min="2317" max="2317" width="15.7109375" style="9" customWidth="1"/>
    <col min="2318" max="2318" width="17.42578125" style="9" customWidth="1"/>
    <col min="2319" max="2319" width="10.7109375" style="9" customWidth="1"/>
    <col min="2320" max="2320" width="13" style="9" customWidth="1"/>
    <col min="2321" max="2321" width="16.7109375" style="9" customWidth="1"/>
    <col min="2322" max="2562" width="9.140625" style="9"/>
    <col min="2563" max="2563" width="35.5703125" style="9" customWidth="1"/>
    <col min="2564" max="2564" width="23" style="9" customWidth="1"/>
    <col min="2565" max="2565" width="17.7109375" style="9" customWidth="1"/>
    <col min="2566" max="2566" width="18.42578125" style="9" customWidth="1"/>
    <col min="2567" max="2568" width="13.140625" style="9" customWidth="1"/>
    <col min="2569" max="2569" width="10.7109375" style="9" customWidth="1"/>
    <col min="2570" max="2570" width="40.85546875" style="9" customWidth="1"/>
    <col min="2571" max="2571" width="34.140625" style="9" customWidth="1"/>
    <col min="2572" max="2572" width="16" style="9" customWidth="1"/>
    <col min="2573" max="2573" width="15.7109375" style="9" customWidth="1"/>
    <col min="2574" max="2574" width="17.42578125" style="9" customWidth="1"/>
    <col min="2575" max="2575" width="10.7109375" style="9" customWidth="1"/>
    <col min="2576" max="2576" width="13" style="9" customWidth="1"/>
    <col min="2577" max="2577" width="16.7109375" style="9" customWidth="1"/>
    <col min="2578" max="2818" width="9.140625" style="9"/>
    <col min="2819" max="2819" width="35.5703125" style="9" customWidth="1"/>
    <col min="2820" max="2820" width="23" style="9" customWidth="1"/>
    <col min="2821" max="2821" width="17.7109375" style="9" customWidth="1"/>
    <col min="2822" max="2822" width="18.42578125" style="9" customWidth="1"/>
    <col min="2823" max="2824" width="13.140625" style="9" customWidth="1"/>
    <col min="2825" max="2825" width="10.7109375" style="9" customWidth="1"/>
    <col min="2826" max="2826" width="40.85546875" style="9" customWidth="1"/>
    <col min="2827" max="2827" width="34.140625" style="9" customWidth="1"/>
    <col min="2828" max="2828" width="16" style="9" customWidth="1"/>
    <col min="2829" max="2829" width="15.7109375" style="9" customWidth="1"/>
    <col min="2830" max="2830" width="17.42578125" style="9" customWidth="1"/>
    <col min="2831" max="2831" width="10.7109375" style="9" customWidth="1"/>
    <col min="2832" max="2832" width="13" style="9" customWidth="1"/>
    <col min="2833" max="2833" width="16.7109375" style="9" customWidth="1"/>
    <col min="2834" max="3074" width="9.140625" style="9"/>
    <col min="3075" max="3075" width="35.5703125" style="9" customWidth="1"/>
    <col min="3076" max="3076" width="23" style="9" customWidth="1"/>
    <col min="3077" max="3077" width="17.7109375" style="9" customWidth="1"/>
    <col min="3078" max="3078" width="18.42578125" style="9" customWidth="1"/>
    <col min="3079" max="3080" width="13.140625" style="9" customWidth="1"/>
    <col min="3081" max="3081" width="10.7109375" style="9" customWidth="1"/>
    <col min="3082" max="3082" width="40.85546875" style="9" customWidth="1"/>
    <col min="3083" max="3083" width="34.140625" style="9" customWidth="1"/>
    <col min="3084" max="3084" width="16" style="9" customWidth="1"/>
    <col min="3085" max="3085" width="15.7109375" style="9" customWidth="1"/>
    <col min="3086" max="3086" width="17.42578125" style="9" customWidth="1"/>
    <col min="3087" max="3087" width="10.7109375" style="9" customWidth="1"/>
    <col min="3088" max="3088" width="13" style="9" customWidth="1"/>
    <col min="3089" max="3089" width="16.7109375" style="9" customWidth="1"/>
    <col min="3090" max="3330" width="9.140625" style="9"/>
    <col min="3331" max="3331" width="35.5703125" style="9" customWidth="1"/>
    <col min="3332" max="3332" width="23" style="9" customWidth="1"/>
    <col min="3333" max="3333" width="17.7109375" style="9" customWidth="1"/>
    <col min="3334" max="3334" width="18.42578125" style="9" customWidth="1"/>
    <col min="3335" max="3336" width="13.140625" style="9" customWidth="1"/>
    <col min="3337" max="3337" width="10.7109375" style="9" customWidth="1"/>
    <col min="3338" max="3338" width="40.85546875" style="9" customWidth="1"/>
    <col min="3339" max="3339" width="34.140625" style="9" customWidth="1"/>
    <col min="3340" max="3340" width="16" style="9" customWidth="1"/>
    <col min="3341" max="3341" width="15.7109375" style="9" customWidth="1"/>
    <col min="3342" max="3342" width="17.42578125" style="9" customWidth="1"/>
    <col min="3343" max="3343" width="10.7109375" style="9" customWidth="1"/>
    <col min="3344" max="3344" width="13" style="9" customWidth="1"/>
    <col min="3345" max="3345" width="16.7109375" style="9" customWidth="1"/>
    <col min="3346" max="3586" width="9.140625" style="9"/>
    <col min="3587" max="3587" width="35.5703125" style="9" customWidth="1"/>
    <col min="3588" max="3588" width="23" style="9" customWidth="1"/>
    <col min="3589" max="3589" width="17.7109375" style="9" customWidth="1"/>
    <col min="3590" max="3590" width="18.42578125" style="9" customWidth="1"/>
    <col min="3591" max="3592" width="13.140625" style="9" customWidth="1"/>
    <col min="3593" max="3593" width="10.7109375" style="9" customWidth="1"/>
    <col min="3594" max="3594" width="40.85546875" style="9" customWidth="1"/>
    <col min="3595" max="3595" width="34.140625" style="9" customWidth="1"/>
    <col min="3596" max="3596" width="16" style="9" customWidth="1"/>
    <col min="3597" max="3597" width="15.7109375" style="9" customWidth="1"/>
    <col min="3598" max="3598" width="17.42578125" style="9" customWidth="1"/>
    <col min="3599" max="3599" width="10.7109375" style="9" customWidth="1"/>
    <col min="3600" max="3600" width="13" style="9" customWidth="1"/>
    <col min="3601" max="3601" width="16.7109375" style="9" customWidth="1"/>
    <col min="3602" max="3842" width="9.140625" style="9"/>
    <col min="3843" max="3843" width="35.5703125" style="9" customWidth="1"/>
    <col min="3844" max="3844" width="23" style="9" customWidth="1"/>
    <col min="3845" max="3845" width="17.7109375" style="9" customWidth="1"/>
    <col min="3846" max="3846" width="18.42578125" style="9" customWidth="1"/>
    <col min="3847" max="3848" width="13.140625" style="9" customWidth="1"/>
    <col min="3849" max="3849" width="10.7109375" style="9" customWidth="1"/>
    <col min="3850" max="3850" width="40.85546875" style="9" customWidth="1"/>
    <col min="3851" max="3851" width="34.140625" style="9" customWidth="1"/>
    <col min="3852" max="3852" width="16" style="9" customWidth="1"/>
    <col min="3853" max="3853" width="15.7109375" style="9" customWidth="1"/>
    <col min="3854" max="3854" width="17.42578125" style="9" customWidth="1"/>
    <col min="3855" max="3855" width="10.7109375" style="9" customWidth="1"/>
    <col min="3856" max="3856" width="13" style="9" customWidth="1"/>
    <col min="3857" max="3857" width="16.7109375" style="9" customWidth="1"/>
    <col min="3858" max="4098" width="9.140625" style="9"/>
    <col min="4099" max="4099" width="35.5703125" style="9" customWidth="1"/>
    <col min="4100" max="4100" width="23" style="9" customWidth="1"/>
    <col min="4101" max="4101" width="17.7109375" style="9" customWidth="1"/>
    <col min="4102" max="4102" width="18.42578125" style="9" customWidth="1"/>
    <col min="4103" max="4104" width="13.140625" style="9" customWidth="1"/>
    <col min="4105" max="4105" width="10.7109375" style="9" customWidth="1"/>
    <col min="4106" max="4106" width="40.85546875" style="9" customWidth="1"/>
    <col min="4107" max="4107" width="34.140625" style="9" customWidth="1"/>
    <col min="4108" max="4108" width="16" style="9" customWidth="1"/>
    <col min="4109" max="4109" width="15.7109375" style="9" customWidth="1"/>
    <col min="4110" max="4110" width="17.42578125" style="9" customWidth="1"/>
    <col min="4111" max="4111" width="10.7109375" style="9" customWidth="1"/>
    <col min="4112" max="4112" width="13" style="9" customWidth="1"/>
    <col min="4113" max="4113" width="16.7109375" style="9" customWidth="1"/>
    <col min="4114" max="4354" width="9.140625" style="9"/>
    <col min="4355" max="4355" width="35.5703125" style="9" customWidth="1"/>
    <col min="4356" max="4356" width="23" style="9" customWidth="1"/>
    <col min="4357" max="4357" width="17.7109375" style="9" customWidth="1"/>
    <col min="4358" max="4358" width="18.42578125" style="9" customWidth="1"/>
    <col min="4359" max="4360" width="13.140625" style="9" customWidth="1"/>
    <col min="4361" max="4361" width="10.7109375" style="9" customWidth="1"/>
    <col min="4362" max="4362" width="40.85546875" style="9" customWidth="1"/>
    <col min="4363" max="4363" width="34.140625" style="9" customWidth="1"/>
    <col min="4364" max="4364" width="16" style="9" customWidth="1"/>
    <col min="4365" max="4365" width="15.7109375" style="9" customWidth="1"/>
    <col min="4366" max="4366" width="17.42578125" style="9" customWidth="1"/>
    <col min="4367" max="4367" width="10.7109375" style="9" customWidth="1"/>
    <col min="4368" max="4368" width="13" style="9" customWidth="1"/>
    <col min="4369" max="4369" width="16.7109375" style="9" customWidth="1"/>
    <col min="4370" max="4610" width="9.140625" style="9"/>
    <col min="4611" max="4611" width="35.5703125" style="9" customWidth="1"/>
    <col min="4612" max="4612" width="23" style="9" customWidth="1"/>
    <col min="4613" max="4613" width="17.7109375" style="9" customWidth="1"/>
    <col min="4614" max="4614" width="18.42578125" style="9" customWidth="1"/>
    <col min="4615" max="4616" width="13.140625" style="9" customWidth="1"/>
    <col min="4617" max="4617" width="10.7109375" style="9" customWidth="1"/>
    <col min="4618" max="4618" width="40.85546875" style="9" customWidth="1"/>
    <col min="4619" max="4619" width="34.140625" style="9" customWidth="1"/>
    <col min="4620" max="4620" width="16" style="9" customWidth="1"/>
    <col min="4621" max="4621" width="15.7109375" style="9" customWidth="1"/>
    <col min="4622" max="4622" width="17.42578125" style="9" customWidth="1"/>
    <col min="4623" max="4623" width="10.7109375" style="9" customWidth="1"/>
    <col min="4624" max="4624" width="13" style="9" customWidth="1"/>
    <col min="4625" max="4625" width="16.7109375" style="9" customWidth="1"/>
    <col min="4626" max="4866" width="9.140625" style="9"/>
    <col min="4867" max="4867" width="35.5703125" style="9" customWidth="1"/>
    <col min="4868" max="4868" width="23" style="9" customWidth="1"/>
    <col min="4869" max="4869" width="17.7109375" style="9" customWidth="1"/>
    <col min="4870" max="4870" width="18.42578125" style="9" customWidth="1"/>
    <col min="4871" max="4872" width="13.140625" style="9" customWidth="1"/>
    <col min="4873" max="4873" width="10.7109375" style="9" customWidth="1"/>
    <col min="4874" max="4874" width="40.85546875" style="9" customWidth="1"/>
    <col min="4875" max="4875" width="34.140625" style="9" customWidth="1"/>
    <col min="4876" max="4876" width="16" style="9" customWidth="1"/>
    <col min="4877" max="4877" width="15.7109375" style="9" customWidth="1"/>
    <col min="4878" max="4878" width="17.42578125" style="9" customWidth="1"/>
    <col min="4879" max="4879" width="10.7109375" style="9" customWidth="1"/>
    <col min="4880" max="4880" width="13" style="9" customWidth="1"/>
    <col min="4881" max="4881" width="16.7109375" style="9" customWidth="1"/>
    <col min="4882" max="5122" width="9.140625" style="9"/>
    <col min="5123" max="5123" width="35.5703125" style="9" customWidth="1"/>
    <col min="5124" max="5124" width="23" style="9" customWidth="1"/>
    <col min="5125" max="5125" width="17.7109375" style="9" customWidth="1"/>
    <col min="5126" max="5126" width="18.42578125" style="9" customWidth="1"/>
    <col min="5127" max="5128" width="13.140625" style="9" customWidth="1"/>
    <col min="5129" max="5129" width="10.7109375" style="9" customWidth="1"/>
    <col min="5130" max="5130" width="40.85546875" style="9" customWidth="1"/>
    <col min="5131" max="5131" width="34.140625" style="9" customWidth="1"/>
    <col min="5132" max="5132" width="16" style="9" customWidth="1"/>
    <col min="5133" max="5133" width="15.7109375" style="9" customWidth="1"/>
    <col min="5134" max="5134" width="17.42578125" style="9" customWidth="1"/>
    <col min="5135" max="5135" width="10.7109375" style="9" customWidth="1"/>
    <col min="5136" max="5136" width="13" style="9" customWidth="1"/>
    <col min="5137" max="5137" width="16.7109375" style="9" customWidth="1"/>
    <col min="5138" max="5378" width="9.140625" style="9"/>
    <col min="5379" max="5379" width="35.5703125" style="9" customWidth="1"/>
    <col min="5380" max="5380" width="23" style="9" customWidth="1"/>
    <col min="5381" max="5381" width="17.7109375" style="9" customWidth="1"/>
    <col min="5382" max="5382" width="18.42578125" style="9" customWidth="1"/>
    <col min="5383" max="5384" width="13.140625" style="9" customWidth="1"/>
    <col min="5385" max="5385" width="10.7109375" style="9" customWidth="1"/>
    <col min="5386" max="5386" width="40.85546875" style="9" customWidth="1"/>
    <col min="5387" max="5387" width="34.140625" style="9" customWidth="1"/>
    <col min="5388" max="5388" width="16" style="9" customWidth="1"/>
    <col min="5389" max="5389" width="15.7109375" style="9" customWidth="1"/>
    <col min="5390" max="5390" width="17.42578125" style="9" customWidth="1"/>
    <col min="5391" max="5391" width="10.7109375" style="9" customWidth="1"/>
    <col min="5392" max="5392" width="13" style="9" customWidth="1"/>
    <col min="5393" max="5393" width="16.7109375" style="9" customWidth="1"/>
    <col min="5394" max="5634" width="9.140625" style="9"/>
    <col min="5635" max="5635" width="35.5703125" style="9" customWidth="1"/>
    <col min="5636" max="5636" width="23" style="9" customWidth="1"/>
    <col min="5637" max="5637" width="17.7109375" style="9" customWidth="1"/>
    <col min="5638" max="5638" width="18.42578125" style="9" customWidth="1"/>
    <col min="5639" max="5640" width="13.140625" style="9" customWidth="1"/>
    <col min="5641" max="5641" width="10.7109375" style="9" customWidth="1"/>
    <col min="5642" max="5642" width="40.85546875" style="9" customWidth="1"/>
    <col min="5643" max="5643" width="34.140625" style="9" customWidth="1"/>
    <col min="5644" max="5644" width="16" style="9" customWidth="1"/>
    <col min="5645" max="5645" width="15.7109375" style="9" customWidth="1"/>
    <col min="5646" max="5646" width="17.42578125" style="9" customWidth="1"/>
    <col min="5647" max="5647" width="10.7109375" style="9" customWidth="1"/>
    <col min="5648" max="5648" width="13" style="9" customWidth="1"/>
    <col min="5649" max="5649" width="16.7109375" style="9" customWidth="1"/>
    <col min="5650" max="5890" width="9.140625" style="9"/>
    <col min="5891" max="5891" width="35.5703125" style="9" customWidth="1"/>
    <col min="5892" max="5892" width="23" style="9" customWidth="1"/>
    <col min="5893" max="5893" width="17.7109375" style="9" customWidth="1"/>
    <col min="5894" max="5894" width="18.42578125" style="9" customWidth="1"/>
    <col min="5895" max="5896" width="13.140625" style="9" customWidth="1"/>
    <col min="5897" max="5897" width="10.7109375" style="9" customWidth="1"/>
    <col min="5898" max="5898" width="40.85546875" style="9" customWidth="1"/>
    <col min="5899" max="5899" width="34.140625" style="9" customWidth="1"/>
    <col min="5900" max="5900" width="16" style="9" customWidth="1"/>
    <col min="5901" max="5901" width="15.7109375" style="9" customWidth="1"/>
    <col min="5902" max="5902" width="17.42578125" style="9" customWidth="1"/>
    <col min="5903" max="5903" width="10.7109375" style="9" customWidth="1"/>
    <col min="5904" max="5904" width="13" style="9" customWidth="1"/>
    <col min="5905" max="5905" width="16.7109375" style="9" customWidth="1"/>
    <col min="5906" max="6146" width="9.140625" style="9"/>
    <col min="6147" max="6147" width="35.5703125" style="9" customWidth="1"/>
    <col min="6148" max="6148" width="23" style="9" customWidth="1"/>
    <col min="6149" max="6149" width="17.7109375" style="9" customWidth="1"/>
    <col min="6150" max="6150" width="18.42578125" style="9" customWidth="1"/>
    <col min="6151" max="6152" width="13.140625" style="9" customWidth="1"/>
    <col min="6153" max="6153" width="10.7109375" style="9" customWidth="1"/>
    <col min="6154" max="6154" width="40.85546875" style="9" customWidth="1"/>
    <col min="6155" max="6155" width="34.140625" style="9" customWidth="1"/>
    <col min="6156" max="6156" width="16" style="9" customWidth="1"/>
    <col min="6157" max="6157" width="15.7109375" style="9" customWidth="1"/>
    <col min="6158" max="6158" width="17.42578125" style="9" customWidth="1"/>
    <col min="6159" max="6159" width="10.7109375" style="9" customWidth="1"/>
    <col min="6160" max="6160" width="13" style="9" customWidth="1"/>
    <col min="6161" max="6161" width="16.7109375" style="9" customWidth="1"/>
    <col min="6162" max="6402" width="9.140625" style="9"/>
    <col min="6403" max="6403" width="35.5703125" style="9" customWidth="1"/>
    <col min="6404" max="6404" width="23" style="9" customWidth="1"/>
    <col min="6405" max="6405" width="17.7109375" style="9" customWidth="1"/>
    <col min="6406" max="6406" width="18.42578125" style="9" customWidth="1"/>
    <col min="6407" max="6408" width="13.140625" style="9" customWidth="1"/>
    <col min="6409" max="6409" width="10.7109375" style="9" customWidth="1"/>
    <col min="6410" max="6410" width="40.85546875" style="9" customWidth="1"/>
    <col min="6411" max="6411" width="34.140625" style="9" customWidth="1"/>
    <col min="6412" max="6412" width="16" style="9" customWidth="1"/>
    <col min="6413" max="6413" width="15.7109375" style="9" customWidth="1"/>
    <col min="6414" max="6414" width="17.42578125" style="9" customWidth="1"/>
    <col min="6415" max="6415" width="10.7109375" style="9" customWidth="1"/>
    <col min="6416" max="6416" width="13" style="9" customWidth="1"/>
    <col min="6417" max="6417" width="16.7109375" style="9" customWidth="1"/>
    <col min="6418" max="6658" width="9.140625" style="9"/>
    <col min="6659" max="6659" width="35.5703125" style="9" customWidth="1"/>
    <col min="6660" max="6660" width="23" style="9" customWidth="1"/>
    <col min="6661" max="6661" width="17.7109375" style="9" customWidth="1"/>
    <col min="6662" max="6662" width="18.42578125" style="9" customWidth="1"/>
    <col min="6663" max="6664" width="13.140625" style="9" customWidth="1"/>
    <col min="6665" max="6665" width="10.7109375" style="9" customWidth="1"/>
    <col min="6666" max="6666" width="40.85546875" style="9" customWidth="1"/>
    <col min="6667" max="6667" width="34.140625" style="9" customWidth="1"/>
    <col min="6668" max="6668" width="16" style="9" customWidth="1"/>
    <col min="6669" max="6669" width="15.7109375" style="9" customWidth="1"/>
    <col min="6670" max="6670" width="17.42578125" style="9" customWidth="1"/>
    <col min="6671" max="6671" width="10.7109375" style="9" customWidth="1"/>
    <col min="6672" max="6672" width="13" style="9" customWidth="1"/>
    <col min="6673" max="6673" width="16.7109375" style="9" customWidth="1"/>
    <col min="6674" max="6914" width="9.140625" style="9"/>
    <col min="6915" max="6915" width="35.5703125" style="9" customWidth="1"/>
    <col min="6916" max="6916" width="23" style="9" customWidth="1"/>
    <col min="6917" max="6917" width="17.7109375" style="9" customWidth="1"/>
    <col min="6918" max="6918" width="18.42578125" style="9" customWidth="1"/>
    <col min="6919" max="6920" width="13.140625" style="9" customWidth="1"/>
    <col min="6921" max="6921" width="10.7109375" style="9" customWidth="1"/>
    <col min="6922" max="6922" width="40.85546875" style="9" customWidth="1"/>
    <col min="6923" max="6923" width="34.140625" style="9" customWidth="1"/>
    <col min="6924" max="6924" width="16" style="9" customWidth="1"/>
    <col min="6925" max="6925" width="15.7109375" style="9" customWidth="1"/>
    <col min="6926" max="6926" width="17.42578125" style="9" customWidth="1"/>
    <col min="6927" max="6927" width="10.7109375" style="9" customWidth="1"/>
    <col min="6928" max="6928" width="13" style="9" customWidth="1"/>
    <col min="6929" max="6929" width="16.7109375" style="9" customWidth="1"/>
    <col min="6930" max="7170" width="9.140625" style="9"/>
    <col min="7171" max="7171" width="35.5703125" style="9" customWidth="1"/>
    <col min="7172" max="7172" width="23" style="9" customWidth="1"/>
    <col min="7173" max="7173" width="17.7109375" style="9" customWidth="1"/>
    <col min="7174" max="7174" width="18.42578125" style="9" customWidth="1"/>
    <col min="7175" max="7176" width="13.140625" style="9" customWidth="1"/>
    <col min="7177" max="7177" width="10.7109375" style="9" customWidth="1"/>
    <col min="7178" max="7178" width="40.85546875" style="9" customWidth="1"/>
    <col min="7179" max="7179" width="34.140625" style="9" customWidth="1"/>
    <col min="7180" max="7180" width="16" style="9" customWidth="1"/>
    <col min="7181" max="7181" width="15.7109375" style="9" customWidth="1"/>
    <col min="7182" max="7182" width="17.42578125" style="9" customWidth="1"/>
    <col min="7183" max="7183" width="10.7109375" style="9" customWidth="1"/>
    <col min="7184" max="7184" width="13" style="9" customWidth="1"/>
    <col min="7185" max="7185" width="16.7109375" style="9" customWidth="1"/>
    <col min="7186" max="7426" width="9.140625" style="9"/>
    <col min="7427" max="7427" width="35.5703125" style="9" customWidth="1"/>
    <col min="7428" max="7428" width="23" style="9" customWidth="1"/>
    <col min="7429" max="7429" width="17.7109375" style="9" customWidth="1"/>
    <col min="7430" max="7430" width="18.42578125" style="9" customWidth="1"/>
    <col min="7431" max="7432" width="13.140625" style="9" customWidth="1"/>
    <col min="7433" max="7433" width="10.7109375" style="9" customWidth="1"/>
    <col min="7434" max="7434" width="40.85546875" style="9" customWidth="1"/>
    <col min="7435" max="7435" width="34.140625" style="9" customWidth="1"/>
    <col min="7436" max="7436" width="16" style="9" customWidth="1"/>
    <col min="7437" max="7437" width="15.7109375" style="9" customWidth="1"/>
    <col min="7438" max="7438" width="17.42578125" style="9" customWidth="1"/>
    <col min="7439" max="7439" width="10.7109375" style="9" customWidth="1"/>
    <col min="7440" max="7440" width="13" style="9" customWidth="1"/>
    <col min="7441" max="7441" width="16.7109375" style="9" customWidth="1"/>
    <col min="7442" max="7682" width="9.140625" style="9"/>
    <col min="7683" max="7683" width="35.5703125" style="9" customWidth="1"/>
    <col min="7684" max="7684" width="23" style="9" customWidth="1"/>
    <col min="7685" max="7685" width="17.7109375" style="9" customWidth="1"/>
    <col min="7686" max="7686" width="18.42578125" style="9" customWidth="1"/>
    <col min="7687" max="7688" width="13.140625" style="9" customWidth="1"/>
    <col min="7689" max="7689" width="10.7109375" style="9" customWidth="1"/>
    <col min="7690" max="7690" width="40.85546875" style="9" customWidth="1"/>
    <col min="7691" max="7691" width="34.140625" style="9" customWidth="1"/>
    <col min="7692" max="7692" width="16" style="9" customWidth="1"/>
    <col min="7693" max="7693" width="15.7109375" style="9" customWidth="1"/>
    <col min="7694" max="7694" width="17.42578125" style="9" customWidth="1"/>
    <col min="7695" max="7695" width="10.7109375" style="9" customWidth="1"/>
    <col min="7696" max="7696" width="13" style="9" customWidth="1"/>
    <col min="7697" max="7697" width="16.7109375" style="9" customWidth="1"/>
    <col min="7698" max="7938" width="9.140625" style="9"/>
    <col min="7939" max="7939" width="35.5703125" style="9" customWidth="1"/>
    <col min="7940" max="7940" width="23" style="9" customWidth="1"/>
    <col min="7941" max="7941" width="17.7109375" style="9" customWidth="1"/>
    <col min="7942" max="7942" width="18.42578125" style="9" customWidth="1"/>
    <col min="7943" max="7944" width="13.140625" style="9" customWidth="1"/>
    <col min="7945" max="7945" width="10.7109375" style="9" customWidth="1"/>
    <col min="7946" max="7946" width="40.85546875" style="9" customWidth="1"/>
    <col min="7947" max="7947" width="34.140625" style="9" customWidth="1"/>
    <col min="7948" max="7948" width="16" style="9" customWidth="1"/>
    <col min="7949" max="7949" width="15.7109375" style="9" customWidth="1"/>
    <col min="7950" max="7950" width="17.42578125" style="9" customWidth="1"/>
    <col min="7951" max="7951" width="10.7109375" style="9" customWidth="1"/>
    <col min="7952" max="7952" width="13" style="9" customWidth="1"/>
    <col min="7953" max="7953" width="16.7109375" style="9" customWidth="1"/>
    <col min="7954" max="8194" width="9.140625" style="9"/>
    <col min="8195" max="8195" width="35.5703125" style="9" customWidth="1"/>
    <col min="8196" max="8196" width="23" style="9" customWidth="1"/>
    <col min="8197" max="8197" width="17.7109375" style="9" customWidth="1"/>
    <col min="8198" max="8198" width="18.42578125" style="9" customWidth="1"/>
    <col min="8199" max="8200" width="13.140625" style="9" customWidth="1"/>
    <col min="8201" max="8201" width="10.7109375" style="9" customWidth="1"/>
    <col min="8202" max="8202" width="40.85546875" style="9" customWidth="1"/>
    <col min="8203" max="8203" width="34.140625" style="9" customWidth="1"/>
    <col min="8204" max="8204" width="16" style="9" customWidth="1"/>
    <col min="8205" max="8205" width="15.7109375" style="9" customWidth="1"/>
    <col min="8206" max="8206" width="17.42578125" style="9" customWidth="1"/>
    <col min="8207" max="8207" width="10.7109375" style="9" customWidth="1"/>
    <col min="8208" max="8208" width="13" style="9" customWidth="1"/>
    <col min="8209" max="8209" width="16.7109375" style="9" customWidth="1"/>
    <col min="8210" max="8450" width="9.140625" style="9"/>
    <col min="8451" max="8451" width="35.5703125" style="9" customWidth="1"/>
    <col min="8452" max="8452" width="23" style="9" customWidth="1"/>
    <col min="8453" max="8453" width="17.7109375" style="9" customWidth="1"/>
    <col min="8454" max="8454" width="18.42578125" style="9" customWidth="1"/>
    <col min="8455" max="8456" width="13.140625" style="9" customWidth="1"/>
    <col min="8457" max="8457" width="10.7109375" style="9" customWidth="1"/>
    <col min="8458" max="8458" width="40.85546875" style="9" customWidth="1"/>
    <col min="8459" max="8459" width="34.140625" style="9" customWidth="1"/>
    <col min="8460" max="8460" width="16" style="9" customWidth="1"/>
    <col min="8461" max="8461" width="15.7109375" style="9" customWidth="1"/>
    <col min="8462" max="8462" width="17.42578125" style="9" customWidth="1"/>
    <col min="8463" max="8463" width="10.7109375" style="9" customWidth="1"/>
    <col min="8464" max="8464" width="13" style="9" customWidth="1"/>
    <col min="8465" max="8465" width="16.7109375" style="9" customWidth="1"/>
    <col min="8466" max="8706" width="9.140625" style="9"/>
    <col min="8707" max="8707" width="35.5703125" style="9" customWidth="1"/>
    <col min="8708" max="8708" width="23" style="9" customWidth="1"/>
    <col min="8709" max="8709" width="17.7109375" style="9" customWidth="1"/>
    <col min="8710" max="8710" width="18.42578125" style="9" customWidth="1"/>
    <col min="8711" max="8712" width="13.140625" style="9" customWidth="1"/>
    <col min="8713" max="8713" width="10.7109375" style="9" customWidth="1"/>
    <col min="8714" max="8714" width="40.85546875" style="9" customWidth="1"/>
    <col min="8715" max="8715" width="34.140625" style="9" customWidth="1"/>
    <col min="8716" max="8716" width="16" style="9" customWidth="1"/>
    <col min="8717" max="8717" width="15.7109375" style="9" customWidth="1"/>
    <col min="8718" max="8718" width="17.42578125" style="9" customWidth="1"/>
    <col min="8719" max="8719" width="10.7109375" style="9" customWidth="1"/>
    <col min="8720" max="8720" width="13" style="9" customWidth="1"/>
    <col min="8721" max="8721" width="16.7109375" style="9" customWidth="1"/>
    <col min="8722" max="8962" width="9.140625" style="9"/>
    <col min="8963" max="8963" width="35.5703125" style="9" customWidth="1"/>
    <col min="8964" max="8964" width="23" style="9" customWidth="1"/>
    <col min="8965" max="8965" width="17.7109375" style="9" customWidth="1"/>
    <col min="8966" max="8966" width="18.42578125" style="9" customWidth="1"/>
    <col min="8967" max="8968" width="13.140625" style="9" customWidth="1"/>
    <col min="8969" max="8969" width="10.7109375" style="9" customWidth="1"/>
    <col min="8970" max="8970" width="40.85546875" style="9" customWidth="1"/>
    <col min="8971" max="8971" width="34.140625" style="9" customWidth="1"/>
    <col min="8972" max="8972" width="16" style="9" customWidth="1"/>
    <col min="8973" max="8973" width="15.7109375" style="9" customWidth="1"/>
    <col min="8974" max="8974" width="17.42578125" style="9" customWidth="1"/>
    <col min="8975" max="8975" width="10.7109375" style="9" customWidth="1"/>
    <col min="8976" max="8976" width="13" style="9" customWidth="1"/>
    <col min="8977" max="8977" width="16.7109375" style="9" customWidth="1"/>
    <col min="8978" max="9218" width="9.140625" style="9"/>
    <col min="9219" max="9219" width="35.5703125" style="9" customWidth="1"/>
    <col min="9220" max="9220" width="23" style="9" customWidth="1"/>
    <col min="9221" max="9221" width="17.7109375" style="9" customWidth="1"/>
    <col min="9222" max="9222" width="18.42578125" style="9" customWidth="1"/>
    <col min="9223" max="9224" width="13.140625" style="9" customWidth="1"/>
    <col min="9225" max="9225" width="10.7109375" style="9" customWidth="1"/>
    <col min="9226" max="9226" width="40.85546875" style="9" customWidth="1"/>
    <col min="9227" max="9227" width="34.140625" style="9" customWidth="1"/>
    <col min="9228" max="9228" width="16" style="9" customWidth="1"/>
    <col min="9229" max="9229" width="15.7109375" style="9" customWidth="1"/>
    <col min="9230" max="9230" width="17.42578125" style="9" customWidth="1"/>
    <col min="9231" max="9231" width="10.7109375" style="9" customWidth="1"/>
    <col min="9232" max="9232" width="13" style="9" customWidth="1"/>
    <col min="9233" max="9233" width="16.7109375" style="9" customWidth="1"/>
    <col min="9234" max="9474" width="9.140625" style="9"/>
    <col min="9475" max="9475" width="35.5703125" style="9" customWidth="1"/>
    <col min="9476" max="9476" width="23" style="9" customWidth="1"/>
    <col min="9477" max="9477" width="17.7109375" style="9" customWidth="1"/>
    <col min="9478" max="9478" width="18.42578125" style="9" customWidth="1"/>
    <col min="9479" max="9480" width="13.140625" style="9" customWidth="1"/>
    <col min="9481" max="9481" width="10.7109375" style="9" customWidth="1"/>
    <col min="9482" max="9482" width="40.85546875" style="9" customWidth="1"/>
    <col min="9483" max="9483" width="34.140625" style="9" customWidth="1"/>
    <col min="9484" max="9484" width="16" style="9" customWidth="1"/>
    <col min="9485" max="9485" width="15.7109375" style="9" customWidth="1"/>
    <col min="9486" max="9486" width="17.42578125" style="9" customWidth="1"/>
    <col min="9487" max="9487" width="10.7109375" style="9" customWidth="1"/>
    <col min="9488" max="9488" width="13" style="9" customWidth="1"/>
    <col min="9489" max="9489" width="16.7109375" style="9" customWidth="1"/>
    <col min="9490" max="9730" width="9.140625" style="9"/>
    <col min="9731" max="9731" width="35.5703125" style="9" customWidth="1"/>
    <col min="9732" max="9732" width="23" style="9" customWidth="1"/>
    <col min="9733" max="9733" width="17.7109375" style="9" customWidth="1"/>
    <col min="9734" max="9734" width="18.42578125" style="9" customWidth="1"/>
    <col min="9735" max="9736" width="13.140625" style="9" customWidth="1"/>
    <col min="9737" max="9737" width="10.7109375" style="9" customWidth="1"/>
    <col min="9738" max="9738" width="40.85546875" style="9" customWidth="1"/>
    <col min="9739" max="9739" width="34.140625" style="9" customWidth="1"/>
    <col min="9740" max="9740" width="16" style="9" customWidth="1"/>
    <col min="9741" max="9741" width="15.7109375" style="9" customWidth="1"/>
    <col min="9742" max="9742" width="17.42578125" style="9" customWidth="1"/>
    <col min="9743" max="9743" width="10.7109375" style="9" customWidth="1"/>
    <col min="9744" max="9744" width="13" style="9" customWidth="1"/>
    <col min="9745" max="9745" width="16.7109375" style="9" customWidth="1"/>
    <col min="9746" max="9986" width="9.140625" style="9"/>
    <col min="9987" max="9987" width="35.5703125" style="9" customWidth="1"/>
    <col min="9988" max="9988" width="23" style="9" customWidth="1"/>
    <col min="9989" max="9989" width="17.7109375" style="9" customWidth="1"/>
    <col min="9990" max="9990" width="18.42578125" style="9" customWidth="1"/>
    <col min="9991" max="9992" width="13.140625" style="9" customWidth="1"/>
    <col min="9993" max="9993" width="10.7109375" style="9" customWidth="1"/>
    <col min="9994" max="9994" width="40.85546875" style="9" customWidth="1"/>
    <col min="9995" max="9995" width="34.140625" style="9" customWidth="1"/>
    <col min="9996" max="9996" width="16" style="9" customWidth="1"/>
    <col min="9997" max="9997" width="15.7109375" style="9" customWidth="1"/>
    <col min="9998" max="9998" width="17.42578125" style="9" customWidth="1"/>
    <col min="9999" max="9999" width="10.7109375" style="9" customWidth="1"/>
    <col min="10000" max="10000" width="13" style="9" customWidth="1"/>
    <col min="10001" max="10001" width="16.7109375" style="9" customWidth="1"/>
    <col min="10002" max="10242" width="9.140625" style="9"/>
    <col min="10243" max="10243" width="35.5703125" style="9" customWidth="1"/>
    <col min="10244" max="10244" width="23" style="9" customWidth="1"/>
    <col min="10245" max="10245" width="17.7109375" style="9" customWidth="1"/>
    <col min="10246" max="10246" width="18.42578125" style="9" customWidth="1"/>
    <col min="10247" max="10248" width="13.140625" style="9" customWidth="1"/>
    <col min="10249" max="10249" width="10.7109375" style="9" customWidth="1"/>
    <col min="10250" max="10250" width="40.85546875" style="9" customWidth="1"/>
    <col min="10251" max="10251" width="34.140625" style="9" customWidth="1"/>
    <col min="10252" max="10252" width="16" style="9" customWidth="1"/>
    <col min="10253" max="10253" width="15.7109375" style="9" customWidth="1"/>
    <col min="10254" max="10254" width="17.42578125" style="9" customWidth="1"/>
    <col min="10255" max="10255" width="10.7109375" style="9" customWidth="1"/>
    <col min="10256" max="10256" width="13" style="9" customWidth="1"/>
    <col min="10257" max="10257" width="16.7109375" style="9" customWidth="1"/>
    <col min="10258" max="10498" width="9.140625" style="9"/>
    <col min="10499" max="10499" width="35.5703125" style="9" customWidth="1"/>
    <col min="10500" max="10500" width="23" style="9" customWidth="1"/>
    <col min="10501" max="10501" width="17.7109375" style="9" customWidth="1"/>
    <col min="10502" max="10502" width="18.42578125" style="9" customWidth="1"/>
    <col min="10503" max="10504" width="13.140625" style="9" customWidth="1"/>
    <col min="10505" max="10505" width="10.7109375" style="9" customWidth="1"/>
    <col min="10506" max="10506" width="40.85546875" style="9" customWidth="1"/>
    <col min="10507" max="10507" width="34.140625" style="9" customWidth="1"/>
    <col min="10508" max="10508" width="16" style="9" customWidth="1"/>
    <col min="10509" max="10509" width="15.7109375" style="9" customWidth="1"/>
    <col min="10510" max="10510" width="17.42578125" style="9" customWidth="1"/>
    <col min="10511" max="10511" width="10.7109375" style="9" customWidth="1"/>
    <col min="10512" max="10512" width="13" style="9" customWidth="1"/>
    <col min="10513" max="10513" width="16.7109375" style="9" customWidth="1"/>
    <col min="10514" max="10754" width="9.140625" style="9"/>
    <col min="10755" max="10755" width="35.5703125" style="9" customWidth="1"/>
    <col min="10756" max="10756" width="23" style="9" customWidth="1"/>
    <col min="10757" max="10757" width="17.7109375" style="9" customWidth="1"/>
    <col min="10758" max="10758" width="18.42578125" style="9" customWidth="1"/>
    <col min="10759" max="10760" width="13.140625" style="9" customWidth="1"/>
    <col min="10761" max="10761" width="10.7109375" style="9" customWidth="1"/>
    <col min="10762" max="10762" width="40.85546875" style="9" customWidth="1"/>
    <col min="10763" max="10763" width="34.140625" style="9" customWidth="1"/>
    <col min="10764" max="10764" width="16" style="9" customWidth="1"/>
    <col min="10765" max="10765" width="15.7109375" style="9" customWidth="1"/>
    <col min="10766" max="10766" width="17.42578125" style="9" customWidth="1"/>
    <col min="10767" max="10767" width="10.7109375" style="9" customWidth="1"/>
    <col min="10768" max="10768" width="13" style="9" customWidth="1"/>
    <col min="10769" max="10769" width="16.7109375" style="9" customWidth="1"/>
    <col min="10770" max="11010" width="9.140625" style="9"/>
    <col min="11011" max="11011" width="35.5703125" style="9" customWidth="1"/>
    <col min="11012" max="11012" width="23" style="9" customWidth="1"/>
    <col min="11013" max="11013" width="17.7109375" style="9" customWidth="1"/>
    <col min="11014" max="11014" width="18.42578125" style="9" customWidth="1"/>
    <col min="11015" max="11016" width="13.140625" style="9" customWidth="1"/>
    <col min="11017" max="11017" width="10.7109375" style="9" customWidth="1"/>
    <col min="11018" max="11018" width="40.85546875" style="9" customWidth="1"/>
    <col min="11019" max="11019" width="34.140625" style="9" customWidth="1"/>
    <col min="11020" max="11020" width="16" style="9" customWidth="1"/>
    <col min="11021" max="11021" width="15.7109375" style="9" customWidth="1"/>
    <col min="11022" max="11022" width="17.42578125" style="9" customWidth="1"/>
    <col min="11023" max="11023" width="10.7109375" style="9" customWidth="1"/>
    <col min="11024" max="11024" width="13" style="9" customWidth="1"/>
    <col min="11025" max="11025" width="16.7109375" style="9" customWidth="1"/>
    <col min="11026" max="11266" width="9.140625" style="9"/>
    <col min="11267" max="11267" width="35.5703125" style="9" customWidth="1"/>
    <col min="11268" max="11268" width="23" style="9" customWidth="1"/>
    <col min="11269" max="11269" width="17.7109375" style="9" customWidth="1"/>
    <col min="11270" max="11270" width="18.42578125" style="9" customWidth="1"/>
    <col min="11271" max="11272" width="13.140625" style="9" customWidth="1"/>
    <col min="11273" max="11273" width="10.7109375" style="9" customWidth="1"/>
    <col min="11274" max="11274" width="40.85546875" style="9" customWidth="1"/>
    <col min="11275" max="11275" width="34.140625" style="9" customWidth="1"/>
    <col min="11276" max="11276" width="16" style="9" customWidth="1"/>
    <col min="11277" max="11277" width="15.7109375" style="9" customWidth="1"/>
    <col min="11278" max="11278" width="17.42578125" style="9" customWidth="1"/>
    <col min="11279" max="11279" width="10.7109375" style="9" customWidth="1"/>
    <col min="11280" max="11280" width="13" style="9" customWidth="1"/>
    <col min="11281" max="11281" width="16.7109375" style="9" customWidth="1"/>
    <col min="11282" max="11522" width="9.140625" style="9"/>
    <col min="11523" max="11523" width="35.5703125" style="9" customWidth="1"/>
    <col min="11524" max="11524" width="23" style="9" customWidth="1"/>
    <col min="11525" max="11525" width="17.7109375" style="9" customWidth="1"/>
    <col min="11526" max="11526" width="18.42578125" style="9" customWidth="1"/>
    <col min="11527" max="11528" width="13.140625" style="9" customWidth="1"/>
    <col min="11529" max="11529" width="10.7109375" style="9" customWidth="1"/>
    <col min="11530" max="11530" width="40.85546875" style="9" customWidth="1"/>
    <col min="11531" max="11531" width="34.140625" style="9" customWidth="1"/>
    <col min="11532" max="11532" width="16" style="9" customWidth="1"/>
    <col min="11533" max="11533" width="15.7109375" style="9" customWidth="1"/>
    <col min="11534" max="11534" width="17.42578125" style="9" customWidth="1"/>
    <col min="11535" max="11535" width="10.7109375" style="9" customWidth="1"/>
    <col min="11536" max="11536" width="13" style="9" customWidth="1"/>
    <col min="11537" max="11537" width="16.7109375" style="9" customWidth="1"/>
    <col min="11538" max="11778" width="9.140625" style="9"/>
    <col min="11779" max="11779" width="35.5703125" style="9" customWidth="1"/>
    <col min="11780" max="11780" width="23" style="9" customWidth="1"/>
    <col min="11781" max="11781" width="17.7109375" style="9" customWidth="1"/>
    <col min="11782" max="11782" width="18.42578125" style="9" customWidth="1"/>
    <col min="11783" max="11784" width="13.140625" style="9" customWidth="1"/>
    <col min="11785" max="11785" width="10.7109375" style="9" customWidth="1"/>
    <col min="11786" max="11786" width="40.85546875" style="9" customWidth="1"/>
    <col min="11787" max="11787" width="34.140625" style="9" customWidth="1"/>
    <col min="11788" max="11788" width="16" style="9" customWidth="1"/>
    <col min="11789" max="11789" width="15.7109375" style="9" customWidth="1"/>
    <col min="11790" max="11790" width="17.42578125" style="9" customWidth="1"/>
    <col min="11791" max="11791" width="10.7109375" style="9" customWidth="1"/>
    <col min="11792" max="11792" width="13" style="9" customWidth="1"/>
    <col min="11793" max="11793" width="16.7109375" style="9" customWidth="1"/>
    <col min="11794" max="12034" width="9.140625" style="9"/>
    <col min="12035" max="12035" width="35.5703125" style="9" customWidth="1"/>
    <col min="12036" max="12036" width="23" style="9" customWidth="1"/>
    <col min="12037" max="12037" width="17.7109375" style="9" customWidth="1"/>
    <col min="12038" max="12038" width="18.42578125" style="9" customWidth="1"/>
    <col min="12039" max="12040" width="13.140625" style="9" customWidth="1"/>
    <col min="12041" max="12041" width="10.7109375" style="9" customWidth="1"/>
    <col min="12042" max="12042" width="40.85546875" style="9" customWidth="1"/>
    <col min="12043" max="12043" width="34.140625" style="9" customWidth="1"/>
    <col min="12044" max="12044" width="16" style="9" customWidth="1"/>
    <col min="12045" max="12045" width="15.7109375" style="9" customWidth="1"/>
    <col min="12046" max="12046" width="17.42578125" style="9" customWidth="1"/>
    <col min="12047" max="12047" width="10.7109375" style="9" customWidth="1"/>
    <col min="12048" max="12048" width="13" style="9" customWidth="1"/>
    <col min="12049" max="12049" width="16.7109375" style="9" customWidth="1"/>
    <col min="12050" max="12290" width="9.140625" style="9"/>
    <col min="12291" max="12291" width="35.5703125" style="9" customWidth="1"/>
    <col min="12292" max="12292" width="23" style="9" customWidth="1"/>
    <col min="12293" max="12293" width="17.7109375" style="9" customWidth="1"/>
    <col min="12294" max="12294" width="18.42578125" style="9" customWidth="1"/>
    <col min="12295" max="12296" width="13.140625" style="9" customWidth="1"/>
    <col min="12297" max="12297" width="10.7109375" style="9" customWidth="1"/>
    <col min="12298" max="12298" width="40.85546875" style="9" customWidth="1"/>
    <col min="12299" max="12299" width="34.140625" style="9" customWidth="1"/>
    <col min="12300" max="12300" width="16" style="9" customWidth="1"/>
    <col min="12301" max="12301" width="15.7109375" style="9" customWidth="1"/>
    <col min="12302" max="12302" width="17.42578125" style="9" customWidth="1"/>
    <col min="12303" max="12303" width="10.7109375" style="9" customWidth="1"/>
    <col min="12304" max="12304" width="13" style="9" customWidth="1"/>
    <col min="12305" max="12305" width="16.7109375" style="9" customWidth="1"/>
    <col min="12306" max="12546" width="9.140625" style="9"/>
    <col min="12547" max="12547" width="35.5703125" style="9" customWidth="1"/>
    <col min="12548" max="12548" width="23" style="9" customWidth="1"/>
    <col min="12549" max="12549" width="17.7109375" style="9" customWidth="1"/>
    <col min="12550" max="12550" width="18.42578125" style="9" customWidth="1"/>
    <col min="12551" max="12552" width="13.140625" style="9" customWidth="1"/>
    <col min="12553" max="12553" width="10.7109375" style="9" customWidth="1"/>
    <col min="12554" max="12554" width="40.85546875" style="9" customWidth="1"/>
    <col min="12555" max="12555" width="34.140625" style="9" customWidth="1"/>
    <col min="12556" max="12556" width="16" style="9" customWidth="1"/>
    <col min="12557" max="12557" width="15.7109375" style="9" customWidth="1"/>
    <col min="12558" max="12558" width="17.42578125" style="9" customWidth="1"/>
    <col min="12559" max="12559" width="10.7109375" style="9" customWidth="1"/>
    <col min="12560" max="12560" width="13" style="9" customWidth="1"/>
    <col min="12561" max="12561" width="16.7109375" style="9" customWidth="1"/>
    <col min="12562" max="12802" width="9.140625" style="9"/>
    <col min="12803" max="12803" width="35.5703125" style="9" customWidth="1"/>
    <col min="12804" max="12804" width="23" style="9" customWidth="1"/>
    <col min="12805" max="12805" width="17.7109375" style="9" customWidth="1"/>
    <col min="12806" max="12806" width="18.42578125" style="9" customWidth="1"/>
    <col min="12807" max="12808" width="13.140625" style="9" customWidth="1"/>
    <col min="12809" max="12809" width="10.7109375" style="9" customWidth="1"/>
    <col min="12810" max="12810" width="40.85546875" style="9" customWidth="1"/>
    <col min="12811" max="12811" width="34.140625" style="9" customWidth="1"/>
    <col min="12812" max="12812" width="16" style="9" customWidth="1"/>
    <col min="12813" max="12813" width="15.7109375" style="9" customWidth="1"/>
    <col min="12814" max="12814" width="17.42578125" style="9" customWidth="1"/>
    <col min="12815" max="12815" width="10.7109375" style="9" customWidth="1"/>
    <col min="12816" max="12816" width="13" style="9" customWidth="1"/>
    <col min="12817" max="12817" width="16.7109375" style="9" customWidth="1"/>
    <col min="12818" max="13058" width="9.140625" style="9"/>
    <col min="13059" max="13059" width="35.5703125" style="9" customWidth="1"/>
    <col min="13060" max="13060" width="23" style="9" customWidth="1"/>
    <col min="13061" max="13061" width="17.7109375" style="9" customWidth="1"/>
    <col min="13062" max="13062" width="18.42578125" style="9" customWidth="1"/>
    <col min="13063" max="13064" width="13.140625" style="9" customWidth="1"/>
    <col min="13065" max="13065" width="10.7109375" style="9" customWidth="1"/>
    <col min="13066" max="13066" width="40.85546875" style="9" customWidth="1"/>
    <col min="13067" max="13067" width="34.140625" style="9" customWidth="1"/>
    <col min="13068" max="13068" width="16" style="9" customWidth="1"/>
    <col min="13069" max="13069" width="15.7109375" style="9" customWidth="1"/>
    <col min="13070" max="13070" width="17.42578125" style="9" customWidth="1"/>
    <col min="13071" max="13071" width="10.7109375" style="9" customWidth="1"/>
    <col min="13072" max="13072" width="13" style="9" customWidth="1"/>
    <col min="13073" max="13073" width="16.7109375" style="9" customWidth="1"/>
    <col min="13074" max="13314" width="9.140625" style="9"/>
    <col min="13315" max="13315" width="35.5703125" style="9" customWidth="1"/>
    <col min="13316" max="13316" width="23" style="9" customWidth="1"/>
    <col min="13317" max="13317" width="17.7109375" style="9" customWidth="1"/>
    <col min="13318" max="13318" width="18.42578125" style="9" customWidth="1"/>
    <col min="13319" max="13320" width="13.140625" style="9" customWidth="1"/>
    <col min="13321" max="13321" width="10.7109375" style="9" customWidth="1"/>
    <col min="13322" max="13322" width="40.85546875" style="9" customWidth="1"/>
    <col min="13323" max="13323" width="34.140625" style="9" customWidth="1"/>
    <col min="13324" max="13324" width="16" style="9" customWidth="1"/>
    <col min="13325" max="13325" width="15.7109375" style="9" customWidth="1"/>
    <col min="13326" max="13326" width="17.42578125" style="9" customWidth="1"/>
    <col min="13327" max="13327" width="10.7109375" style="9" customWidth="1"/>
    <col min="13328" max="13328" width="13" style="9" customWidth="1"/>
    <col min="13329" max="13329" width="16.7109375" style="9" customWidth="1"/>
    <col min="13330" max="13570" width="9.140625" style="9"/>
    <col min="13571" max="13571" width="35.5703125" style="9" customWidth="1"/>
    <col min="13572" max="13572" width="23" style="9" customWidth="1"/>
    <col min="13573" max="13573" width="17.7109375" style="9" customWidth="1"/>
    <col min="13574" max="13574" width="18.42578125" style="9" customWidth="1"/>
    <col min="13575" max="13576" width="13.140625" style="9" customWidth="1"/>
    <col min="13577" max="13577" width="10.7109375" style="9" customWidth="1"/>
    <col min="13578" max="13578" width="40.85546875" style="9" customWidth="1"/>
    <col min="13579" max="13579" width="34.140625" style="9" customWidth="1"/>
    <col min="13580" max="13580" width="16" style="9" customWidth="1"/>
    <col min="13581" max="13581" width="15.7109375" style="9" customWidth="1"/>
    <col min="13582" max="13582" width="17.42578125" style="9" customWidth="1"/>
    <col min="13583" max="13583" width="10.7109375" style="9" customWidth="1"/>
    <col min="13584" max="13584" width="13" style="9" customWidth="1"/>
    <col min="13585" max="13585" width="16.7109375" style="9" customWidth="1"/>
    <col min="13586" max="13826" width="9.140625" style="9"/>
    <col min="13827" max="13827" width="35.5703125" style="9" customWidth="1"/>
    <col min="13828" max="13828" width="23" style="9" customWidth="1"/>
    <col min="13829" max="13829" width="17.7109375" style="9" customWidth="1"/>
    <col min="13830" max="13830" width="18.42578125" style="9" customWidth="1"/>
    <col min="13831" max="13832" width="13.140625" style="9" customWidth="1"/>
    <col min="13833" max="13833" width="10.7109375" style="9" customWidth="1"/>
    <col min="13834" max="13834" width="40.85546875" style="9" customWidth="1"/>
    <col min="13835" max="13835" width="34.140625" style="9" customWidth="1"/>
    <col min="13836" max="13836" width="16" style="9" customWidth="1"/>
    <col min="13837" max="13837" width="15.7109375" style="9" customWidth="1"/>
    <col min="13838" max="13838" width="17.42578125" style="9" customWidth="1"/>
    <col min="13839" max="13839" width="10.7109375" style="9" customWidth="1"/>
    <col min="13840" max="13840" width="13" style="9" customWidth="1"/>
    <col min="13841" max="13841" width="16.7109375" style="9" customWidth="1"/>
    <col min="13842" max="14082" width="9.140625" style="9"/>
    <col min="14083" max="14083" width="35.5703125" style="9" customWidth="1"/>
    <col min="14084" max="14084" width="23" style="9" customWidth="1"/>
    <col min="14085" max="14085" width="17.7109375" style="9" customWidth="1"/>
    <col min="14086" max="14086" width="18.42578125" style="9" customWidth="1"/>
    <col min="14087" max="14088" width="13.140625" style="9" customWidth="1"/>
    <col min="14089" max="14089" width="10.7109375" style="9" customWidth="1"/>
    <col min="14090" max="14090" width="40.85546875" style="9" customWidth="1"/>
    <col min="14091" max="14091" width="34.140625" style="9" customWidth="1"/>
    <col min="14092" max="14092" width="16" style="9" customWidth="1"/>
    <col min="14093" max="14093" width="15.7109375" style="9" customWidth="1"/>
    <col min="14094" max="14094" width="17.42578125" style="9" customWidth="1"/>
    <col min="14095" max="14095" width="10.7109375" style="9" customWidth="1"/>
    <col min="14096" max="14096" width="13" style="9" customWidth="1"/>
    <col min="14097" max="14097" width="16.7109375" style="9" customWidth="1"/>
    <col min="14098" max="14338" width="9.140625" style="9"/>
    <col min="14339" max="14339" width="35.5703125" style="9" customWidth="1"/>
    <col min="14340" max="14340" width="23" style="9" customWidth="1"/>
    <col min="14341" max="14341" width="17.7109375" style="9" customWidth="1"/>
    <col min="14342" max="14342" width="18.42578125" style="9" customWidth="1"/>
    <col min="14343" max="14344" width="13.140625" style="9" customWidth="1"/>
    <col min="14345" max="14345" width="10.7109375" style="9" customWidth="1"/>
    <col min="14346" max="14346" width="40.85546875" style="9" customWidth="1"/>
    <col min="14347" max="14347" width="34.140625" style="9" customWidth="1"/>
    <col min="14348" max="14348" width="16" style="9" customWidth="1"/>
    <col min="14349" max="14349" width="15.7109375" style="9" customWidth="1"/>
    <col min="14350" max="14350" width="17.42578125" style="9" customWidth="1"/>
    <col min="14351" max="14351" width="10.7109375" style="9" customWidth="1"/>
    <col min="14352" max="14352" width="13" style="9" customWidth="1"/>
    <col min="14353" max="14353" width="16.7109375" style="9" customWidth="1"/>
    <col min="14354" max="14594" width="9.140625" style="9"/>
    <col min="14595" max="14595" width="35.5703125" style="9" customWidth="1"/>
    <col min="14596" max="14596" width="23" style="9" customWidth="1"/>
    <col min="14597" max="14597" width="17.7109375" style="9" customWidth="1"/>
    <col min="14598" max="14598" width="18.42578125" style="9" customWidth="1"/>
    <col min="14599" max="14600" width="13.140625" style="9" customWidth="1"/>
    <col min="14601" max="14601" width="10.7109375" style="9" customWidth="1"/>
    <col min="14602" max="14602" width="40.85546875" style="9" customWidth="1"/>
    <col min="14603" max="14603" width="34.140625" style="9" customWidth="1"/>
    <col min="14604" max="14604" width="16" style="9" customWidth="1"/>
    <col min="14605" max="14605" width="15.7109375" style="9" customWidth="1"/>
    <col min="14606" max="14606" width="17.42578125" style="9" customWidth="1"/>
    <col min="14607" max="14607" width="10.7109375" style="9" customWidth="1"/>
    <col min="14608" max="14608" width="13" style="9" customWidth="1"/>
    <col min="14609" max="14609" width="16.7109375" style="9" customWidth="1"/>
    <col min="14610" max="14850" width="9.140625" style="9"/>
    <col min="14851" max="14851" width="35.5703125" style="9" customWidth="1"/>
    <col min="14852" max="14852" width="23" style="9" customWidth="1"/>
    <col min="14853" max="14853" width="17.7109375" style="9" customWidth="1"/>
    <col min="14854" max="14854" width="18.42578125" style="9" customWidth="1"/>
    <col min="14855" max="14856" width="13.140625" style="9" customWidth="1"/>
    <col min="14857" max="14857" width="10.7109375" style="9" customWidth="1"/>
    <col min="14858" max="14858" width="40.85546875" style="9" customWidth="1"/>
    <col min="14859" max="14859" width="34.140625" style="9" customWidth="1"/>
    <col min="14860" max="14860" width="16" style="9" customWidth="1"/>
    <col min="14861" max="14861" width="15.7109375" style="9" customWidth="1"/>
    <col min="14862" max="14862" width="17.42578125" style="9" customWidth="1"/>
    <col min="14863" max="14863" width="10.7109375" style="9" customWidth="1"/>
    <col min="14864" max="14864" width="13" style="9" customWidth="1"/>
    <col min="14865" max="14865" width="16.7109375" style="9" customWidth="1"/>
    <col min="14866" max="15106" width="9.140625" style="9"/>
    <col min="15107" max="15107" width="35.5703125" style="9" customWidth="1"/>
    <col min="15108" max="15108" width="23" style="9" customWidth="1"/>
    <col min="15109" max="15109" width="17.7109375" style="9" customWidth="1"/>
    <col min="15110" max="15110" width="18.42578125" style="9" customWidth="1"/>
    <col min="15111" max="15112" width="13.140625" style="9" customWidth="1"/>
    <col min="15113" max="15113" width="10.7109375" style="9" customWidth="1"/>
    <col min="15114" max="15114" width="40.85546875" style="9" customWidth="1"/>
    <col min="15115" max="15115" width="34.140625" style="9" customWidth="1"/>
    <col min="15116" max="15116" width="16" style="9" customWidth="1"/>
    <col min="15117" max="15117" width="15.7109375" style="9" customWidth="1"/>
    <col min="15118" max="15118" width="17.42578125" style="9" customWidth="1"/>
    <col min="15119" max="15119" width="10.7109375" style="9" customWidth="1"/>
    <col min="15120" max="15120" width="13" style="9" customWidth="1"/>
    <col min="15121" max="15121" width="16.7109375" style="9" customWidth="1"/>
    <col min="15122" max="15362" width="9.140625" style="9"/>
    <col min="15363" max="15363" width="35.5703125" style="9" customWidth="1"/>
    <col min="15364" max="15364" width="23" style="9" customWidth="1"/>
    <col min="15365" max="15365" width="17.7109375" style="9" customWidth="1"/>
    <col min="15366" max="15366" width="18.42578125" style="9" customWidth="1"/>
    <col min="15367" max="15368" width="13.140625" style="9" customWidth="1"/>
    <col min="15369" max="15369" width="10.7109375" style="9" customWidth="1"/>
    <col min="15370" max="15370" width="40.85546875" style="9" customWidth="1"/>
    <col min="15371" max="15371" width="34.140625" style="9" customWidth="1"/>
    <col min="15372" max="15372" width="16" style="9" customWidth="1"/>
    <col min="15373" max="15373" width="15.7109375" style="9" customWidth="1"/>
    <col min="15374" max="15374" width="17.42578125" style="9" customWidth="1"/>
    <col min="15375" max="15375" width="10.7109375" style="9" customWidth="1"/>
    <col min="15376" max="15376" width="13" style="9" customWidth="1"/>
    <col min="15377" max="15377" width="16.7109375" style="9" customWidth="1"/>
    <col min="15378" max="15618" width="9.140625" style="9"/>
    <col min="15619" max="15619" width="35.5703125" style="9" customWidth="1"/>
    <col min="15620" max="15620" width="23" style="9" customWidth="1"/>
    <col min="15621" max="15621" width="17.7109375" style="9" customWidth="1"/>
    <col min="15622" max="15622" width="18.42578125" style="9" customWidth="1"/>
    <col min="15623" max="15624" width="13.140625" style="9" customWidth="1"/>
    <col min="15625" max="15625" width="10.7109375" style="9" customWidth="1"/>
    <col min="15626" max="15626" width="40.85546875" style="9" customWidth="1"/>
    <col min="15627" max="15627" width="34.140625" style="9" customWidth="1"/>
    <col min="15628" max="15628" width="16" style="9" customWidth="1"/>
    <col min="15629" max="15629" width="15.7109375" style="9" customWidth="1"/>
    <col min="15630" max="15630" width="17.42578125" style="9" customWidth="1"/>
    <col min="15631" max="15631" width="10.7109375" style="9" customWidth="1"/>
    <col min="15632" max="15632" width="13" style="9" customWidth="1"/>
    <col min="15633" max="15633" width="16.7109375" style="9" customWidth="1"/>
    <col min="15634" max="15874" width="9.140625" style="9"/>
    <col min="15875" max="15875" width="35.5703125" style="9" customWidth="1"/>
    <col min="15876" max="15876" width="23" style="9" customWidth="1"/>
    <col min="15877" max="15877" width="17.7109375" style="9" customWidth="1"/>
    <col min="15878" max="15878" width="18.42578125" style="9" customWidth="1"/>
    <col min="15879" max="15880" width="13.140625" style="9" customWidth="1"/>
    <col min="15881" max="15881" width="10.7109375" style="9" customWidth="1"/>
    <col min="15882" max="15882" width="40.85546875" style="9" customWidth="1"/>
    <col min="15883" max="15883" width="34.140625" style="9" customWidth="1"/>
    <col min="15884" max="15884" width="16" style="9" customWidth="1"/>
    <col min="15885" max="15885" width="15.7109375" style="9" customWidth="1"/>
    <col min="15886" max="15886" width="17.42578125" style="9" customWidth="1"/>
    <col min="15887" max="15887" width="10.7109375" style="9" customWidth="1"/>
    <col min="15888" max="15888" width="13" style="9" customWidth="1"/>
    <col min="15889" max="15889" width="16.7109375" style="9" customWidth="1"/>
    <col min="15890" max="16130" width="9.140625" style="9"/>
    <col min="16131" max="16131" width="35.5703125" style="9" customWidth="1"/>
    <col min="16132" max="16132" width="23" style="9" customWidth="1"/>
    <col min="16133" max="16133" width="17.7109375" style="9" customWidth="1"/>
    <col min="16134" max="16134" width="18.42578125" style="9" customWidth="1"/>
    <col min="16135" max="16136" width="13.140625" style="9" customWidth="1"/>
    <col min="16137" max="16137" width="10.7109375" style="9" customWidth="1"/>
    <col min="16138" max="16138" width="40.85546875" style="9" customWidth="1"/>
    <col min="16139" max="16139" width="34.140625" style="9" customWidth="1"/>
    <col min="16140" max="16140" width="16" style="9" customWidth="1"/>
    <col min="16141" max="16141" width="15.7109375" style="9" customWidth="1"/>
    <col min="16142" max="16142" width="17.42578125" style="9" customWidth="1"/>
    <col min="16143" max="16143" width="10.7109375" style="9" customWidth="1"/>
    <col min="16144" max="16144" width="13" style="9" customWidth="1"/>
    <col min="16145" max="16145" width="16.7109375" style="9" customWidth="1"/>
    <col min="16146" max="16384" width="9.140625" style="9"/>
  </cols>
  <sheetData>
    <row r="2" spans="1:30" ht="57" customHeight="1" x14ac:dyDescent="0.25"/>
    <row r="3" spans="1:30" s="32" customFormat="1" ht="41.25" customHeight="1" x14ac:dyDescent="0.3">
      <c r="A3" s="446" t="s">
        <v>86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30" s="32" customFormat="1" ht="24" customHeight="1" x14ac:dyDescent="0.3">
      <c r="A4" s="452" t="s">
        <v>275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</row>
    <row r="5" spans="1:30" ht="23.25" customHeight="1" x14ac:dyDescent="0.3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30" s="35" customFormat="1" ht="69.75" customHeight="1" x14ac:dyDescent="0.25">
      <c r="A6" s="443" t="s">
        <v>68</v>
      </c>
      <c r="B6" s="445" t="s">
        <v>69</v>
      </c>
      <c r="C6" s="445"/>
      <c r="D6" s="113" t="s">
        <v>135</v>
      </c>
      <c r="E6" s="113" t="s">
        <v>276</v>
      </c>
      <c r="F6" s="113" t="s">
        <v>74</v>
      </c>
      <c r="G6" s="114"/>
      <c r="H6" s="114"/>
      <c r="I6" s="443" t="s">
        <v>68</v>
      </c>
      <c r="J6" s="445" t="s">
        <v>70</v>
      </c>
      <c r="K6" s="445"/>
      <c r="L6" s="113" t="s">
        <v>135</v>
      </c>
      <c r="M6" s="113" t="s">
        <v>276</v>
      </c>
      <c r="N6" s="113" t="s">
        <v>74</v>
      </c>
    </row>
    <row r="7" spans="1:30" s="35" customFormat="1" ht="37.9" customHeight="1" x14ac:dyDescent="0.25">
      <c r="A7" s="443"/>
      <c r="B7" s="447" t="s">
        <v>357</v>
      </c>
      <c r="C7" s="447"/>
      <c r="D7" s="224">
        <f>'Anexo_1.2_Usos e Fontes'!C12-'Anexo_1.2_Usos e Fontes'!C16-'Anexo_1.2_Usos e Fontes'!C19</f>
        <v>678681</v>
      </c>
      <c r="E7" s="224" t="e">
        <f>'Anexo_1.2_Usos e Fontes'!D12-'Anexo_1.2_Usos e Fontes'!#REF!-'Anexo_1.2_Usos e Fontes'!D19</f>
        <v>#REF!</v>
      </c>
      <c r="F7" s="129">
        <f>IFERROR(E7/D7*100-100,0)</f>
        <v>0</v>
      </c>
      <c r="G7" s="251">
        <v>678681</v>
      </c>
      <c r="H7" s="251" t="e">
        <f>'Anexo_1.2_Usos e Fontes'!D12-'Anexo_1.2_Usos e Fontes'!#REF!-'Anexo_1.2_Usos e Fontes'!D19</f>
        <v>#REF!</v>
      </c>
      <c r="I7" s="443"/>
      <c r="J7" s="448" t="s">
        <v>93</v>
      </c>
      <c r="K7" s="448"/>
      <c r="L7" s="252">
        <v>672817.60000000009</v>
      </c>
      <c r="M7" s="254">
        <f>'Anexo_1.3_ Elemento de Despesas'!G49</f>
        <v>717868.83000000007</v>
      </c>
      <c r="N7" s="116">
        <f>IFERROR(M7/L7*100-100,0)</f>
        <v>6.6959053984319041</v>
      </c>
      <c r="O7" s="251">
        <v>672817.60000000009</v>
      </c>
      <c r="P7" s="251">
        <f>'Anexo_1.3_ Elemento de Despesas'!G49</f>
        <v>717868.83000000007</v>
      </c>
      <c r="Q7" s="28"/>
      <c r="R7" s="28"/>
      <c r="S7" s="28"/>
      <c r="T7" s="28"/>
      <c r="U7" s="28"/>
      <c r="V7" s="28"/>
      <c r="W7" s="28"/>
      <c r="X7" s="28"/>
    </row>
    <row r="8" spans="1:30" s="35" customFormat="1" ht="38.450000000000003" customHeight="1" x14ac:dyDescent="0.25">
      <c r="A8" s="443"/>
      <c r="B8" s="449" t="s">
        <v>71</v>
      </c>
      <c r="C8" s="449"/>
      <c r="D8" s="224">
        <f>'Anexo_1.2_Usos e Fontes'!C24</f>
        <v>465982</v>
      </c>
      <c r="E8" s="224">
        <f>'Anexo_1.2_Usos e Fontes'!D24</f>
        <v>410245.22</v>
      </c>
      <c r="F8" s="129">
        <f>IFERROR(E8/D8*100-100,0)</f>
        <v>-11.961144421887553</v>
      </c>
      <c r="G8" s="251">
        <v>465982</v>
      </c>
      <c r="H8" s="251">
        <f>'Anexo_1.2_Usos e Fontes'!D24</f>
        <v>410245.22</v>
      </c>
      <c r="I8" s="443"/>
      <c r="J8" s="448" t="s">
        <v>87</v>
      </c>
      <c r="K8" s="448"/>
      <c r="L8" s="255">
        <v>53532.959999999955</v>
      </c>
      <c r="M8" s="255">
        <v>63405.119999999995</v>
      </c>
      <c r="N8" s="116">
        <f>IFERROR(M8/L8*100-100,0)</f>
        <v>18.441274310256802</v>
      </c>
      <c r="O8" s="251">
        <v>53532.959999999955</v>
      </c>
      <c r="P8" s="251">
        <f>47143+16262+0.12</f>
        <v>63405.120000000003</v>
      </c>
    </row>
    <row r="9" spans="1:30" s="35" customFormat="1" ht="39" customHeight="1" thickBot="1" x14ac:dyDescent="0.3">
      <c r="A9" s="443"/>
      <c r="B9" s="450" t="s">
        <v>88</v>
      </c>
      <c r="C9" s="450"/>
      <c r="D9" s="225">
        <f>SUM(D7:D8)</f>
        <v>1144663</v>
      </c>
      <c r="E9" s="225" t="e">
        <f>SUM(E7:E8)</f>
        <v>#REF!</v>
      </c>
      <c r="F9" s="117">
        <f>IFERROR(E9/D9*100-100,0)</f>
        <v>0</v>
      </c>
      <c r="G9" s="251">
        <v>1144663</v>
      </c>
      <c r="H9" s="251" t="e">
        <f>H7+H8</f>
        <v>#REF!</v>
      </c>
      <c r="I9" s="443"/>
      <c r="J9" s="448" t="s">
        <v>89</v>
      </c>
      <c r="K9" s="448"/>
      <c r="L9" s="256">
        <f>'Anexo_1.2_Usos e Fontes'!C11</f>
        <v>1218415</v>
      </c>
      <c r="M9" s="256">
        <f>'Anexo_1.2_Usos e Fontes'!D11</f>
        <v>1204600.22</v>
      </c>
      <c r="N9" s="116">
        <f>IFERROR(M9/L9*100-100,0)</f>
        <v>-1.1338320687122234</v>
      </c>
      <c r="O9" s="251">
        <v>1218415</v>
      </c>
      <c r="P9" s="251">
        <f>'Anexo_1.2_Usos e Fontes'!D11</f>
        <v>1204600.22</v>
      </c>
    </row>
    <row r="10" spans="1:30" s="35" customFormat="1" ht="38.25" customHeight="1" thickBot="1" x14ac:dyDescent="0.3">
      <c r="A10" s="443"/>
      <c r="B10" s="449" t="s">
        <v>90</v>
      </c>
      <c r="C10" s="449"/>
      <c r="D10" s="226">
        <f>'Anexo_1.2_Usos e Fontes'!C33</f>
        <v>11850</v>
      </c>
      <c r="E10" s="226">
        <f>'Anexo_1.2_Usos e Fontes'!D33</f>
        <v>14751</v>
      </c>
      <c r="F10" s="115">
        <f>IFERROR(E10/D10*100-100,0)</f>
        <v>24.48101265822784</v>
      </c>
      <c r="G10" s="251">
        <v>11850</v>
      </c>
      <c r="H10" s="251">
        <f>'Anexo_1.2_Usos e Fontes'!D33</f>
        <v>14751</v>
      </c>
      <c r="I10" s="451"/>
      <c r="J10" s="451"/>
      <c r="K10" s="114"/>
      <c r="L10" s="118"/>
      <c r="M10" s="118"/>
      <c r="N10" s="119"/>
      <c r="O10" s="229"/>
      <c r="P10" s="227"/>
      <c r="Q10" s="36"/>
    </row>
    <row r="11" spans="1:30" s="35" customFormat="1" ht="28.15" customHeight="1" x14ac:dyDescent="0.25">
      <c r="A11" s="443"/>
      <c r="B11" s="453" t="s">
        <v>126</v>
      </c>
      <c r="C11" s="453"/>
      <c r="D11" s="225">
        <f>D9-D10</f>
        <v>1132813</v>
      </c>
      <c r="E11" s="225" t="e">
        <f>E9-E10</f>
        <v>#REF!</v>
      </c>
      <c r="F11" s="117">
        <f>IFERROR(E11/D11*100-100,0)</f>
        <v>0</v>
      </c>
      <c r="G11" s="251">
        <v>1132813</v>
      </c>
      <c r="H11" s="251" t="e">
        <f>H9-H10</f>
        <v>#REF!</v>
      </c>
      <c r="I11" s="121"/>
      <c r="J11" s="121"/>
      <c r="K11" s="114"/>
      <c r="L11" s="119"/>
      <c r="M11" s="122"/>
      <c r="N11" s="119"/>
      <c r="O11" s="229"/>
      <c r="P11" s="227"/>
      <c r="Q11" s="40"/>
    </row>
    <row r="12" spans="1:30" s="39" customFormat="1" ht="18.75" x14ac:dyDescent="0.25">
      <c r="A12" s="123"/>
      <c r="B12" s="124"/>
      <c r="C12" s="124"/>
      <c r="D12" s="120"/>
      <c r="E12" s="120"/>
      <c r="F12" s="119"/>
      <c r="G12" s="120"/>
      <c r="H12" s="120"/>
      <c r="I12" s="121"/>
      <c r="J12" s="121"/>
      <c r="K12" s="114"/>
      <c r="L12" s="119"/>
      <c r="M12" s="122"/>
      <c r="N12" s="119"/>
      <c r="O12" s="229"/>
      <c r="P12" s="227"/>
      <c r="Q12" s="38"/>
    </row>
    <row r="13" spans="1:30" s="35" customFormat="1" ht="43.5" customHeight="1" x14ac:dyDescent="0.25">
      <c r="A13" s="443" t="s">
        <v>108</v>
      </c>
      <c r="B13" s="445" t="s">
        <v>75</v>
      </c>
      <c r="C13" s="445"/>
      <c r="D13" s="113" t="s">
        <v>136</v>
      </c>
      <c r="E13" s="113" t="s">
        <v>277</v>
      </c>
      <c r="F13" s="113" t="s">
        <v>7</v>
      </c>
      <c r="G13" s="120"/>
      <c r="H13" s="120"/>
      <c r="I13" s="445" t="s">
        <v>75</v>
      </c>
      <c r="J13" s="445"/>
      <c r="K13" s="445"/>
      <c r="L13" s="113" t="s">
        <v>136</v>
      </c>
      <c r="M13" s="113" t="s">
        <v>277</v>
      </c>
      <c r="N13" s="113" t="s">
        <v>109</v>
      </c>
      <c r="O13" s="229"/>
      <c r="P13" s="227"/>
      <c r="Q13" s="40"/>
    </row>
    <row r="14" spans="1:30" s="35" customFormat="1" ht="39" customHeight="1" x14ac:dyDescent="0.25">
      <c r="A14" s="443"/>
      <c r="B14" s="444" t="s">
        <v>358</v>
      </c>
      <c r="C14" s="125" t="s">
        <v>72</v>
      </c>
      <c r="D14" s="252">
        <v>311696.95999999996</v>
      </c>
      <c r="E14" s="252">
        <f>'Quadro Geral'!J15+'Quadro Geral'!J22</f>
        <v>315068.09999999998</v>
      </c>
      <c r="F14" s="115">
        <f>IFERROR(E14/D14*100-100,)</f>
        <v>1.0815440740904307</v>
      </c>
      <c r="G14" s="257">
        <f>[1]FORM.3!E13</f>
        <v>311696.95999999996</v>
      </c>
      <c r="H14" s="257">
        <f>'Quadro Geral'!J15+'Quadro Geral'!J22</f>
        <v>315068.09999999998</v>
      </c>
      <c r="I14" s="444" t="s">
        <v>144</v>
      </c>
      <c r="J14" s="444"/>
      <c r="K14" s="125" t="s">
        <v>72</v>
      </c>
      <c r="L14" s="253">
        <f>(L7-L8)</f>
        <v>619284.64000000013</v>
      </c>
      <c r="M14" s="253">
        <f>(M7-M8)</f>
        <v>654463.71000000008</v>
      </c>
      <c r="N14" s="116">
        <f>IFERROR(M14/L14*100-100,0)</f>
        <v>5.6805978588456441</v>
      </c>
      <c r="O14" s="257">
        <v>619284.64000000013</v>
      </c>
      <c r="P14" s="251">
        <f>P7-P8</f>
        <v>654463.71000000008</v>
      </c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</row>
    <row r="15" spans="1:30" s="35" customFormat="1" ht="39" customHeight="1" x14ac:dyDescent="0.25">
      <c r="A15" s="443"/>
      <c r="B15" s="444"/>
      <c r="C15" s="126" t="s">
        <v>73</v>
      </c>
      <c r="D15" s="127">
        <f>IFERROR(D14/$D$11,0)</f>
        <v>0.27515305703589205</v>
      </c>
      <c r="E15" s="127">
        <f>IFERROR(E14/$E$11,0)</f>
        <v>0</v>
      </c>
      <c r="F15" s="116">
        <f>(E15-D15)*100</f>
        <v>-27.515305703589206</v>
      </c>
      <c r="G15" s="258">
        <f>[1]FORM.3!E14</f>
        <v>0.27515305703589205</v>
      </c>
      <c r="H15" s="258" t="e">
        <f>H14/$H$11</f>
        <v>#REF!</v>
      </c>
      <c r="I15" s="444"/>
      <c r="J15" s="444"/>
      <c r="K15" s="126" t="s">
        <v>73</v>
      </c>
      <c r="L15" s="128">
        <f>IFERROR(L14/L9,)</f>
        <v>0.50827069594514196</v>
      </c>
      <c r="M15" s="128">
        <f>IFERROR(M14/M9,)</f>
        <v>0.54330366135911889</v>
      </c>
      <c r="N15" s="116">
        <f>(M15-L15)*100</f>
        <v>3.5032965413976935</v>
      </c>
      <c r="O15" s="258">
        <v>0.50827069594514196</v>
      </c>
      <c r="P15" s="258">
        <f>P14/P9</f>
        <v>0.54330366135911889</v>
      </c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</row>
    <row r="16" spans="1:30" s="35" customFormat="1" ht="39" customHeight="1" x14ac:dyDescent="0.25">
      <c r="A16" s="443"/>
      <c r="B16" s="444" t="s">
        <v>145</v>
      </c>
      <c r="C16" s="125" t="s">
        <v>72</v>
      </c>
      <c r="D16" s="252">
        <v>143452.19</v>
      </c>
      <c r="E16" s="252">
        <f>'Quadro Geral'!J17+'Quadro Geral'!J23</f>
        <v>137329.35999999999</v>
      </c>
      <c r="F16" s="115">
        <f>IFERROR(E16/D16*100-100,)</f>
        <v>-4.2682025279642062</v>
      </c>
      <c r="G16" s="257">
        <f>[1]FORM.3!E15</f>
        <v>143452.19</v>
      </c>
      <c r="H16" s="257">
        <f>'Quadro Geral'!J17+'Quadro Geral'!J23</f>
        <v>137329.35999999999</v>
      </c>
      <c r="I16" s="444" t="s">
        <v>146</v>
      </c>
      <c r="J16" s="444"/>
      <c r="K16" s="125" t="s">
        <v>72</v>
      </c>
      <c r="L16" s="252">
        <v>20424</v>
      </c>
      <c r="M16" s="252">
        <f>'Quadro Geral'!J19</f>
        <v>21257.370000000003</v>
      </c>
      <c r="N16" s="116">
        <f>IFERROR(M16/L16*100-100,0)</f>
        <v>4.080346650998834</v>
      </c>
      <c r="O16" s="257">
        <v>20424</v>
      </c>
      <c r="P16" s="251">
        <f>'Quadro Geral'!J19</f>
        <v>21257.370000000003</v>
      </c>
    </row>
    <row r="17" spans="1:16" s="35" customFormat="1" ht="39" customHeight="1" x14ac:dyDescent="0.25">
      <c r="A17" s="443"/>
      <c r="B17" s="444"/>
      <c r="C17" s="126" t="s">
        <v>73</v>
      </c>
      <c r="D17" s="127">
        <f>IFERROR(D16/$D$11,0)</f>
        <v>0.12663360148585864</v>
      </c>
      <c r="E17" s="127">
        <f>IFERROR(E16/$E$11,0)</f>
        <v>0</v>
      </c>
      <c r="F17" s="116">
        <f>(E17-D17)*100</f>
        <v>-12.663360148585864</v>
      </c>
      <c r="G17" s="258">
        <f>[1]FORM.3!E16</f>
        <v>0.12663360148585864</v>
      </c>
      <c r="H17" s="258" t="e">
        <f>H16/$H$11</f>
        <v>#REF!</v>
      </c>
      <c r="I17" s="444"/>
      <c r="J17" s="444"/>
      <c r="K17" s="126" t="s">
        <v>73</v>
      </c>
      <c r="L17" s="128">
        <f>IFERROR(L16/L7,)</f>
        <v>3.0355924101866535E-2</v>
      </c>
      <c r="M17" s="128">
        <f>IFERROR(M16/M7,)</f>
        <v>2.9611774619048441E-2</v>
      </c>
      <c r="N17" s="116">
        <f>(M17-L17)*100</f>
        <v>-7.4414948281809404E-2</v>
      </c>
      <c r="O17" s="258">
        <v>3.0355924101866535E-2</v>
      </c>
      <c r="P17" s="258">
        <f>P16/P7</f>
        <v>2.9611774619048441E-2</v>
      </c>
    </row>
    <row r="18" spans="1:16" s="35" customFormat="1" ht="39" customHeight="1" x14ac:dyDescent="0.3">
      <c r="A18" s="443"/>
      <c r="B18" s="444" t="s">
        <v>147</v>
      </c>
      <c r="C18" s="125" t="s">
        <v>72</v>
      </c>
      <c r="D18" s="252">
        <v>42871.399999999994</v>
      </c>
      <c r="E18" s="252">
        <f>'Quadro Geral'!J18</f>
        <v>42813</v>
      </c>
      <c r="F18" s="115">
        <f>IFERROR(E18/D18*100-100,)</f>
        <v>-0.13622135036409588</v>
      </c>
      <c r="G18" s="257">
        <f>[1]FORM.3!E17</f>
        <v>42871.399999999994</v>
      </c>
      <c r="H18" s="257">
        <f>'Quadro Geral'!J18</f>
        <v>42813</v>
      </c>
      <c r="I18" s="32"/>
      <c r="J18" s="32"/>
      <c r="K18" s="32"/>
      <c r="L18" s="32"/>
      <c r="M18" s="32"/>
      <c r="N18" s="32"/>
      <c r="O18" s="37"/>
    </row>
    <row r="19" spans="1:16" s="35" customFormat="1" ht="39" customHeight="1" x14ac:dyDescent="0.3">
      <c r="A19" s="443"/>
      <c r="B19" s="444"/>
      <c r="C19" s="126" t="s">
        <v>73</v>
      </c>
      <c r="D19" s="127">
        <f>IFERROR(D18/$D$11,0)</f>
        <v>3.7845081226998624E-2</v>
      </c>
      <c r="E19" s="127">
        <f>IFERROR(E18/$E$11,0)</f>
        <v>0</v>
      </c>
      <c r="F19" s="116">
        <f>(E19-D19)*100</f>
        <v>-3.7845081226998625</v>
      </c>
      <c r="G19" s="258">
        <f>[1]FORM.3!E18</f>
        <v>3.7845081226998624E-2</v>
      </c>
      <c r="H19" s="258" t="e">
        <f>H18/$H$11</f>
        <v>#REF!</v>
      </c>
      <c r="I19" s="32"/>
      <c r="J19" s="32"/>
      <c r="K19" s="32"/>
      <c r="L19" s="32"/>
      <c r="M19" s="32"/>
      <c r="N19" s="32"/>
    </row>
    <row r="20" spans="1:16" s="35" customFormat="1" ht="39" customHeight="1" x14ac:dyDescent="0.3">
      <c r="A20" s="443"/>
      <c r="B20" s="444" t="s">
        <v>148</v>
      </c>
      <c r="C20" s="125" t="s">
        <v>72</v>
      </c>
      <c r="D20" s="252">
        <v>0</v>
      </c>
      <c r="E20" s="252">
        <v>0</v>
      </c>
      <c r="F20" s="115">
        <f>IFERROR(E20/D20*100-100,)</f>
        <v>0</v>
      </c>
      <c r="G20" s="257">
        <f>[1]FORM.3!E19</f>
        <v>0</v>
      </c>
      <c r="H20" s="257">
        <v>0</v>
      </c>
      <c r="I20" s="228"/>
      <c r="J20" s="228"/>
      <c r="K20" s="32"/>
      <c r="L20" s="32"/>
      <c r="M20" s="32"/>
      <c r="N20" s="32"/>
    </row>
    <row r="21" spans="1:16" s="35" customFormat="1" ht="39" customHeight="1" x14ac:dyDescent="0.3">
      <c r="A21" s="443"/>
      <c r="B21" s="444"/>
      <c r="C21" s="126" t="s">
        <v>73</v>
      </c>
      <c r="D21" s="127">
        <f>IFERROR(D20/$D$11,0)</f>
        <v>0</v>
      </c>
      <c r="E21" s="127">
        <f>IFERROR(E20/$E$11,0)</f>
        <v>0</v>
      </c>
      <c r="F21" s="116">
        <f>(E21-D21)*100</f>
        <v>0</v>
      </c>
      <c r="G21" s="258">
        <f>[1]FORM.3!E20</f>
        <v>0</v>
      </c>
      <c r="H21" s="258" t="e">
        <f>H20/$H$11</f>
        <v>#REF!</v>
      </c>
      <c r="I21" s="32"/>
      <c r="J21" s="32"/>
      <c r="K21" s="32"/>
      <c r="L21" s="32"/>
      <c r="M21" s="32"/>
      <c r="N21" s="32"/>
    </row>
    <row r="22" spans="1:16" s="35" customFormat="1" ht="39" customHeight="1" x14ac:dyDescent="0.3">
      <c r="A22" s="443"/>
      <c r="B22" s="444" t="s">
        <v>152</v>
      </c>
      <c r="C22" s="125" t="s">
        <v>72</v>
      </c>
      <c r="D22" s="252">
        <v>87295.4</v>
      </c>
      <c r="E22" s="252">
        <f>'Quadro Geral'!J19+'Quadro Geral'!J17+'Quadro Geral'!J23</f>
        <v>158586.72999999998</v>
      </c>
      <c r="F22" s="115">
        <f>IFERROR(E22/D22*100-100,)</f>
        <v>81.666765946430161</v>
      </c>
      <c r="G22" s="257">
        <f>[1]FORM.3!E21</f>
        <v>87295.4</v>
      </c>
      <c r="H22" s="257">
        <f>'Quadro Geral'!J17+'Quadro Geral'!J19+'Quadro Geral'!J23</f>
        <v>158586.72999999998</v>
      </c>
      <c r="I22" s="32"/>
      <c r="J22" s="32"/>
      <c r="K22" s="32"/>
      <c r="L22" s="32"/>
      <c r="M22" s="32"/>
      <c r="N22" s="32"/>
    </row>
    <row r="23" spans="1:16" s="35" customFormat="1" ht="39" customHeight="1" x14ac:dyDescent="0.3">
      <c r="A23" s="443"/>
      <c r="B23" s="444"/>
      <c r="C23" s="126" t="s">
        <v>73</v>
      </c>
      <c r="D23" s="127">
        <f>IFERROR(D22/$D$11,0)</f>
        <v>7.7060732883538582E-2</v>
      </c>
      <c r="E23" s="127">
        <f>IFERROR(E22/$E$11,0)</f>
        <v>0</v>
      </c>
      <c r="F23" s="116">
        <f>(E23-D23)*100</f>
        <v>-7.7060732883538581</v>
      </c>
      <c r="G23" s="258">
        <f>[1]FORM.3!E22</f>
        <v>7.7060732883538582E-2</v>
      </c>
      <c r="H23" s="258" t="e">
        <f>H22/$H$11</f>
        <v>#REF!</v>
      </c>
      <c r="I23" s="32"/>
      <c r="J23" s="32"/>
      <c r="K23" s="32"/>
      <c r="L23" s="32"/>
      <c r="M23" s="32"/>
      <c r="N23" s="32"/>
    </row>
    <row r="24" spans="1:16" s="35" customFormat="1" ht="39" customHeight="1" x14ac:dyDescent="0.3">
      <c r="A24" s="443"/>
      <c r="B24" s="444" t="s">
        <v>149</v>
      </c>
      <c r="C24" s="125" t="s">
        <v>72</v>
      </c>
      <c r="D24" s="252">
        <v>24000</v>
      </c>
      <c r="E24" s="252">
        <f>'Quadro Geral'!J20</f>
        <v>22602</v>
      </c>
      <c r="F24" s="115">
        <f>IFERROR(E24/D24*100-100,)</f>
        <v>-5.8250000000000028</v>
      </c>
      <c r="G24" s="257">
        <f>[1]FORM.3!E23</f>
        <v>24000</v>
      </c>
      <c r="H24" s="257">
        <f>'Quadro Geral'!J20</f>
        <v>22602</v>
      </c>
      <c r="I24" s="32"/>
      <c r="J24" s="32"/>
      <c r="K24" s="32"/>
      <c r="L24" s="32"/>
      <c r="M24" s="32"/>
      <c r="N24" s="32"/>
    </row>
    <row r="25" spans="1:16" s="35" customFormat="1" ht="39" customHeight="1" x14ac:dyDescent="0.3">
      <c r="A25" s="443"/>
      <c r="B25" s="444"/>
      <c r="C25" s="126" t="s">
        <v>73</v>
      </c>
      <c r="D25" s="127">
        <f>IFERROR(D24/$D$11,0)</f>
        <v>2.1186197545402463E-2</v>
      </c>
      <c r="E25" s="127">
        <f>IFERROR(E24/$E$11,0)</f>
        <v>0</v>
      </c>
      <c r="F25" s="116">
        <f>(E25-D25)*100</f>
        <v>-2.1186197545402461</v>
      </c>
      <c r="G25" s="258">
        <f>[1]FORM.3!E24</f>
        <v>2.1186197545402463E-2</v>
      </c>
      <c r="H25" s="258" t="e">
        <f>H24/$H$11</f>
        <v>#REF!</v>
      </c>
      <c r="I25" s="32"/>
      <c r="J25" s="32"/>
      <c r="K25" s="32"/>
      <c r="L25" s="32"/>
      <c r="M25" s="32"/>
      <c r="N25" s="32"/>
    </row>
    <row r="26" spans="1:16" s="35" customFormat="1" ht="39" customHeight="1" x14ac:dyDescent="0.3">
      <c r="A26" s="443"/>
      <c r="B26" s="444" t="s">
        <v>150</v>
      </c>
      <c r="C26" s="125" t="s">
        <v>72</v>
      </c>
      <c r="D26" s="252">
        <v>0</v>
      </c>
      <c r="E26" s="252">
        <f>'Quadro Geral'!J27</f>
        <v>10000</v>
      </c>
      <c r="F26" s="115">
        <f>IFERROR(E26/D26*100-100,)</f>
        <v>0</v>
      </c>
      <c r="G26" s="257">
        <f>[1]FORM.3!E25</f>
        <v>0</v>
      </c>
      <c r="H26" s="257">
        <f>'Quadro Geral'!J27</f>
        <v>10000</v>
      </c>
      <c r="I26" s="32"/>
      <c r="J26" s="32"/>
      <c r="K26" s="32"/>
      <c r="L26" s="32"/>
      <c r="M26" s="32"/>
      <c r="N26" s="32"/>
    </row>
    <row r="27" spans="1:16" s="35" customFormat="1" ht="39" customHeight="1" x14ac:dyDescent="0.3">
      <c r="A27" s="443"/>
      <c r="B27" s="444"/>
      <c r="C27" s="126" t="s">
        <v>73</v>
      </c>
      <c r="D27" s="127">
        <f>IFERROR(D26/$D$11,0)</f>
        <v>0</v>
      </c>
      <c r="E27" s="127">
        <f>IFERROR(E26/$E$11,0)</f>
        <v>0</v>
      </c>
      <c r="F27" s="116">
        <f>(E27-D27)*100</f>
        <v>0</v>
      </c>
      <c r="G27" s="258">
        <f>[1]FORM.3!E26</f>
        <v>0</v>
      </c>
      <c r="H27" s="258" t="e">
        <f>H26/$H$11</f>
        <v>#REF!</v>
      </c>
      <c r="I27" s="32"/>
      <c r="J27" s="32"/>
      <c r="K27" s="32"/>
      <c r="L27" s="32"/>
      <c r="M27" s="32"/>
      <c r="N27" s="32"/>
    </row>
    <row r="28" spans="1:16" ht="19.5" thickBot="1" x14ac:dyDescent="0.35">
      <c r="A28" s="32"/>
      <c r="B28" s="33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</row>
    <row r="29" spans="1:16" ht="27" customHeight="1" thickBot="1" x14ac:dyDescent="0.3">
      <c r="A29" s="431" t="s">
        <v>101</v>
      </c>
      <c r="B29" s="432"/>
      <c r="C29" s="432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3"/>
    </row>
    <row r="30" spans="1:16" x14ac:dyDescent="0.25">
      <c r="A30" s="434" t="s">
        <v>496</v>
      </c>
      <c r="B30" s="435"/>
      <c r="C30" s="435"/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6"/>
    </row>
    <row r="31" spans="1:16" x14ac:dyDescent="0.25">
      <c r="A31" s="437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9"/>
    </row>
    <row r="32" spans="1:16" x14ac:dyDescent="0.25">
      <c r="A32" s="437"/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9"/>
    </row>
    <row r="33" spans="1:14" x14ac:dyDescent="0.25">
      <c r="A33" s="437"/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9"/>
    </row>
    <row r="34" spans="1:14" x14ac:dyDescent="0.25">
      <c r="A34" s="437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9"/>
    </row>
    <row r="35" spans="1:14" x14ac:dyDescent="0.25">
      <c r="A35" s="437"/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9"/>
    </row>
    <row r="36" spans="1:14" ht="15.75" thickBot="1" x14ac:dyDescent="0.3">
      <c r="A36" s="440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2"/>
    </row>
    <row r="37" spans="1:14" ht="18.75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</row>
  </sheetData>
  <sheetProtection selectLockedCells="1"/>
  <mergeCells count="29">
    <mergeCell ref="A3:N3"/>
    <mergeCell ref="A6:A11"/>
    <mergeCell ref="B6:C6"/>
    <mergeCell ref="I6:I9"/>
    <mergeCell ref="J6:K6"/>
    <mergeCell ref="B7:C7"/>
    <mergeCell ref="J7:K7"/>
    <mergeCell ref="B8:C8"/>
    <mergeCell ref="J8:K8"/>
    <mergeCell ref="B9:C9"/>
    <mergeCell ref="J9:K9"/>
    <mergeCell ref="B10:C10"/>
    <mergeCell ref="I10:J10"/>
    <mergeCell ref="A4:N4"/>
    <mergeCell ref="B11:C11"/>
    <mergeCell ref="A29:N29"/>
    <mergeCell ref="A30:N36"/>
    <mergeCell ref="A13:A27"/>
    <mergeCell ref="I16:J17"/>
    <mergeCell ref="B18:B19"/>
    <mergeCell ref="B24:B25"/>
    <mergeCell ref="B22:B23"/>
    <mergeCell ref="B26:B27"/>
    <mergeCell ref="B13:C13"/>
    <mergeCell ref="I13:K13"/>
    <mergeCell ref="B14:B15"/>
    <mergeCell ref="I14:J15"/>
    <mergeCell ref="B16:B17"/>
    <mergeCell ref="B20:B21"/>
  </mergeCells>
  <pageMargins left="0.51181102362204722" right="0.51181102362204722" top="0.35433070866141736" bottom="0.78740157480314965" header="0.31496062992125984" footer="0.31496062992125984"/>
  <pageSetup paperSize="9" scale="50" fitToHeight="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rgb="FF92D050"/>
    <pageSetUpPr fitToPage="1"/>
  </sheetPr>
  <dimension ref="A3:Z51"/>
  <sheetViews>
    <sheetView showGridLines="0" topLeftCell="A28" zoomScale="85" zoomScaleNormal="85" zoomScaleSheetLayoutView="80" workbookViewId="0">
      <selection activeCell="M48" sqref="M48"/>
    </sheetView>
  </sheetViews>
  <sheetFormatPr defaultRowHeight="15" x14ac:dyDescent="0.25"/>
  <cols>
    <col min="1" max="1" width="41.42578125" bestFit="1" customWidth="1"/>
    <col min="2" max="3" width="19" customWidth="1"/>
    <col min="4" max="4" width="18.140625" customWidth="1"/>
    <col min="5" max="5" width="17.28515625" customWidth="1"/>
    <col min="6" max="7" width="17.42578125" customWidth="1"/>
    <col min="8" max="10" width="14.28515625" hidden="1" customWidth="1"/>
    <col min="11" max="11" width="10.5703125" bestFit="1" customWidth="1"/>
  </cols>
  <sheetData>
    <row r="3" spans="1:26" ht="30.75" customHeight="1" x14ac:dyDescent="0.25"/>
    <row r="4" spans="1:26" ht="79.5" customHeight="1" x14ac:dyDescent="0.25">
      <c r="A4" s="454" t="s">
        <v>281</v>
      </c>
      <c r="B4" s="454"/>
      <c r="C4" s="454"/>
      <c r="D4" s="454"/>
      <c r="E4" s="454"/>
      <c r="F4" s="454"/>
      <c r="G4" s="454"/>
    </row>
    <row r="5" spans="1:26" ht="21" x14ac:dyDescent="0.25">
      <c r="A5" s="62" t="s">
        <v>391</v>
      </c>
      <c r="B5" s="48"/>
      <c r="C5" s="48"/>
      <c r="D5" s="186"/>
      <c r="E5" s="186"/>
      <c r="F5" s="186"/>
      <c r="G5" s="186"/>
    </row>
    <row r="6" spans="1:26" s="1" customFormat="1" ht="24" customHeight="1" x14ac:dyDescent="0.25">
      <c r="A6" s="63" t="s">
        <v>280</v>
      </c>
      <c r="B6" s="49"/>
      <c r="C6" s="166"/>
      <c r="D6" s="166"/>
      <c r="E6" s="166"/>
      <c r="F6" s="166"/>
      <c r="G6" s="166"/>
      <c r="H6" s="4"/>
      <c r="I6" s="4"/>
      <c r="J6" s="4"/>
      <c r="K6" s="4"/>
      <c r="L6" s="4"/>
    </row>
    <row r="7" spans="1:26" s="1" customFormat="1" ht="23.25" customHeight="1" x14ac:dyDescent="0.25">
      <c r="A7" s="45"/>
      <c r="B7" s="46"/>
      <c r="C7" s="46"/>
      <c r="D7" s="47"/>
      <c r="E7" s="50" t="s">
        <v>37</v>
      </c>
      <c r="F7" s="47"/>
      <c r="G7" s="4"/>
      <c r="H7" s="4"/>
      <c r="I7" s="4"/>
      <c r="J7" s="4"/>
      <c r="K7" s="4"/>
      <c r="L7" s="4"/>
    </row>
    <row r="8" spans="1:26" ht="44.25" customHeight="1" x14ac:dyDescent="0.25">
      <c r="A8" s="460" t="s">
        <v>20</v>
      </c>
      <c r="B8" s="461"/>
      <c r="C8" s="459" t="s">
        <v>278</v>
      </c>
      <c r="D8" s="467" t="s">
        <v>279</v>
      </c>
      <c r="E8" s="469" t="s">
        <v>38</v>
      </c>
      <c r="F8" s="470"/>
      <c r="G8" s="471" t="s">
        <v>98</v>
      </c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5"/>
      <c r="X8" s="5"/>
      <c r="Y8" s="5"/>
      <c r="Z8" s="5"/>
    </row>
    <row r="9" spans="1:26" ht="46.15" customHeight="1" x14ac:dyDescent="0.25">
      <c r="A9" s="460"/>
      <c r="B9" s="461"/>
      <c r="C9" s="459"/>
      <c r="D9" s="468"/>
      <c r="E9" s="155" t="s">
        <v>130</v>
      </c>
      <c r="F9" s="154" t="s">
        <v>131</v>
      </c>
      <c r="G9" s="47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.95" customHeight="1" x14ac:dyDescent="0.25">
      <c r="A10" s="462" t="s">
        <v>21</v>
      </c>
      <c r="B10" s="463"/>
      <c r="C10" s="79"/>
      <c r="D10" s="79"/>
      <c r="E10" s="79"/>
      <c r="F10" s="80"/>
      <c r="G10" s="80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7.75" customHeight="1" x14ac:dyDescent="0.25">
      <c r="A11" s="456" t="s">
        <v>22</v>
      </c>
      <c r="B11" s="456"/>
      <c r="C11" s="259">
        <f>C12+C22+C23+C24</f>
        <v>1218415</v>
      </c>
      <c r="D11" s="259">
        <f>D12+D22+D23+D24</f>
        <v>1204600.22</v>
      </c>
      <c r="E11" s="259">
        <f>D11-C11</f>
        <v>-13814.780000000028</v>
      </c>
      <c r="F11" s="64">
        <f>IFERROR(E11/C11*100,)</f>
        <v>-1.1338320687122225</v>
      </c>
      <c r="G11" s="64">
        <f t="shared" ref="G11:G28" si="0">IFERROR(D11/$D$28*100,0)</f>
        <v>60.091793265392333</v>
      </c>
      <c r="H11" s="230">
        <v>1218415</v>
      </c>
      <c r="I11" s="230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7.75" customHeight="1" x14ac:dyDescent="0.25">
      <c r="A12" s="457" t="s">
        <v>151</v>
      </c>
      <c r="B12" s="457"/>
      <c r="C12" s="259">
        <f>C13+C20+C21</f>
        <v>710430</v>
      </c>
      <c r="D12" s="259">
        <f>D13+D20+D21</f>
        <v>754855</v>
      </c>
      <c r="E12" s="259">
        <f>D12-C12</f>
        <v>44425</v>
      </c>
      <c r="F12" s="64">
        <f t="shared" ref="F12:F36" si="1">IFERROR(E12/C12*100,)</f>
        <v>6.2532550708725694</v>
      </c>
      <c r="G12" s="64">
        <f t="shared" si="0"/>
        <v>37.656136743315329</v>
      </c>
      <c r="H12" s="230">
        <v>710430</v>
      </c>
      <c r="I12" s="230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7.75" customHeight="1" x14ac:dyDescent="0.25">
      <c r="A13" s="457" t="s">
        <v>23</v>
      </c>
      <c r="B13" s="457"/>
      <c r="C13" s="259">
        <f>C14+C17</f>
        <v>273761</v>
      </c>
      <c r="D13" s="259">
        <f>D14+D17</f>
        <v>296768</v>
      </c>
      <c r="E13" s="259">
        <f t="shared" ref="E13:E28" si="2">D13-C13</f>
        <v>23007</v>
      </c>
      <c r="F13" s="64">
        <f t="shared" si="1"/>
        <v>8.4040458648236971</v>
      </c>
      <c r="G13" s="64">
        <f t="shared" si="0"/>
        <v>14.804348370270059</v>
      </c>
      <c r="H13" s="230">
        <v>273761</v>
      </c>
      <c r="I13" s="230"/>
      <c r="J13" s="475"/>
      <c r="K13" s="475"/>
      <c r="L13" s="475"/>
      <c r="M13" s="475"/>
      <c r="N13" s="475"/>
      <c r="O13" s="475"/>
      <c r="P13" s="475"/>
      <c r="Q13" s="475"/>
      <c r="R13" s="5"/>
      <c r="S13" s="5"/>
      <c r="T13" s="5"/>
      <c r="U13" s="5"/>
      <c r="V13" s="5"/>
      <c r="W13" s="5"/>
      <c r="X13" s="5"/>
      <c r="Y13" s="5"/>
      <c r="Z13" s="5"/>
    </row>
    <row r="14" spans="1:26" ht="27.75" customHeight="1" x14ac:dyDescent="0.25">
      <c r="A14" s="455" t="s">
        <v>24</v>
      </c>
      <c r="B14" s="455"/>
      <c r="C14" s="260">
        <f>SUM(C15:C16)</f>
        <v>210524</v>
      </c>
      <c r="D14" s="260">
        <f>SUM(D15:D16)</f>
        <v>238060</v>
      </c>
      <c r="E14" s="259">
        <f>D14-C14</f>
        <v>27536</v>
      </c>
      <c r="F14" s="64">
        <f t="shared" si="1"/>
        <v>13.079743877182647</v>
      </c>
      <c r="G14" s="64">
        <f t="shared" si="0"/>
        <v>11.875684619050874</v>
      </c>
      <c r="H14" s="230">
        <v>210524</v>
      </c>
      <c r="I14" s="230"/>
      <c r="J14" s="475"/>
      <c r="K14" s="475"/>
      <c r="L14" s="475"/>
      <c r="M14" s="475"/>
      <c r="N14" s="475"/>
      <c r="O14" s="475"/>
      <c r="P14" s="475"/>
      <c r="Q14" s="475"/>
      <c r="R14" s="5"/>
      <c r="S14" s="5"/>
      <c r="T14" s="5"/>
      <c r="U14" s="5"/>
      <c r="V14" s="5"/>
      <c r="W14" s="5"/>
      <c r="X14" s="5"/>
      <c r="Y14" s="5"/>
      <c r="Z14" s="5"/>
    </row>
    <row r="15" spans="1:26" ht="27.75" customHeight="1" x14ac:dyDescent="0.25">
      <c r="A15" s="473" t="s">
        <v>359</v>
      </c>
      <c r="B15" s="473"/>
      <c r="C15" s="260">
        <v>186422</v>
      </c>
      <c r="D15" s="260">
        <v>208060</v>
      </c>
      <c r="E15" s="259">
        <f>D15-C15</f>
        <v>21638</v>
      </c>
      <c r="F15" s="64">
        <f t="shared" si="1"/>
        <v>11.606999173917242</v>
      </c>
      <c r="G15" s="64">
        <f>IFERROR(D16/$D$28*100,0)</f>
        <v>1.4965577525477873</v>
      </c>
      <c r="H15" s="230">
        <v>186422</v>
      </c>
      <c r="I15" s="269">
        <v>208060</v>
      </c>
      <c r="J15" s="83"/>
      <c r="K15" s="83"/>
      <c r="L15" s="83"/>
      <c r="M15" s="83"/>
      <c r="N15" s="83"/>
      <c r="O15" s="83"/>
      <c r="P15" s="83"/>
      <c r="Q15" s="83"/>
      <c r="R15" s="5"/>
      <c r="S15" s="5"/>
      <c r="T15" s="5"/>
      <c r="U15" s="5"/>
      <c r="V15" s="5"/>
      <c r="W15" s="5"/>
      <c r="X15" s="5"/>
      <c r="Y15" s="5"/>
      <c r="Z15" s="5"/>
    </row>
    <row r="16" spans="1:26" ht="27.75" customHeight="1" x14ac:dyDescent="0.25">
      <c r="A16" s="473" t="s">
        <v>132</v>
      </c>
      <c r="B16" s="473"/>
      <c r="C16" s="260">
        <v>24102</v>
      </c>
      <c r="D16" s="260">
        <v>30000</v>
      </c>
      <c r="E16" s="259">
        <f>D16-C16</f>
        <v>5898</v>
      </c>
      <c r="F16" s="64">
        <f t="shared" si="1"/>
        <v>24.470998257406023</v>
      </c>
      <c r="G16" s="64">
        <f>IFERROR(#REF!/$D$28*100,0)</f>
        <v>0</v>
      </c>
      <c r="H16" s="230">
        <v>24102</v>
      </c>
      <c r="I16" s="230"/>
      <c r="J16" s="83"/>
      <c r="K16" s="83"/>
      <c r="L16" s="83"/>
      <c r="M16" s="83"/>
      <c r="N16" s="83"/>
      <c r="O16" s="83"/>
      <c r="P16" s="83"/>
      <c r="Q16" s="83"/>
      <c r="R16" s="5"/>
      <c r="S16" s="5"/>
      <c r="T16" s="5"/>
      <c r="U16" s="5"/>
      <c r="V16" s="5"/>
      <c r="W16" s="5"/>
      <c r="X16" s="5"/>
      <c r="Y16" s="5"/>
      <c r="Z16" s="5"/>
    </row>
    <row r="17" spans="1:11" ht="27.75" customHeight="1" x14ac:dyDescent="0.25">
      <c r="A17" s="457" t="s">
        <v>25</v>
      </c>
      <c r="B17" s="457"/>
      <c r="C17" s="261">
        <f>SUM(C18:C19)</f>
        <v>63237</v>
      </c>
      <c r="D17" s="261">
        <f>SUM(D18:D19)</f>
        <v>58708</v>
      </c>
      <c r="E17" s="259">
        <f>D17-C17</f>
        <v>-4529</v>
      </c>
      <c r="F17" s="64">
        <f t="shared" si="1"/>
        <v>-7.1619463288897318</v>
      </c>
      <c r="G17" s="64">
        <f t="shared" si="0"/>
        <v>2.9286637512191831</v>
      </c>
      <c r="H17" s="230">
        <v>63237</v>
      </c>
      <c r="I17" s="230"/>
    </row>
    <row r="18" spans="1:11" ht="27.75" customHeight="1" x14ac:dyDescent="0.25">
      <c r="A18" s="473" t="s">
        <v>360</v>
      </c>
      <c r="B18" s="473"/>
      <c r="C18" s="262">
        <v>55590</v>
      </c>
      <c r="D18" s="262">
        <v>53708</v>
      </c>
      <c r="E18" s="259">
        <f>D18-C18</f>
        <v>-1882</v>
      </c>
      <c r="F18" s="64">
        <f t="shared" si="1"/>
        <v>-3.3855009893865806</v>
      </c>
      <c r="G18" s="64">
        <f t="shared" si="0"/>
        <v>2.6792374591278851</v>
      </c>
      <c r="H18" s="230">
        <v>55590</v>
      </c>
      <c r="I18" s="269">
        <v>53708</v>
      </c>
    </row>
    <row r="19" spans="1:11" ht="27.75" customHeight="1" x14ac:dyDescent="0.25">
      <c r="A19" s="473" t="s">
        <v>133</v>
      </c>
      <c r="B19" s="473"/>
      <c r="C19" s="262">
        <v>7647</v>
      </c>
      <c r="D19" s="262">
        <v>5000</v>
      </c>
      <c r="E19" s="259">
        <f t="shared" si="2"/>
        <v>-2647</v>
      </c>
      <c r="F19" s="64">
        <f t="shared" si="1"/>
        <v>-34.614881652935793</v>
      </c>
      <c r="G19" s="64">
        <f t="shared" si="0"/>
        <v>0.24942629209129788</v>
      </c>
      <c r="H19" s="230">
        <v>7647</v>
      </c>
      <c r="I19" s="230"/>
    </row>
    <row r="20" spans="1:11" ht="27.75" customHeight="1" x14ac:dyDescent="0.25">
      <c r="A20" s="455" t="s">
        <v>107</v>
      </c>
      <c r="B20" s="455"/>
      <c r="C20" s="263">
        <v>403268</v>
      </c>
      <c r="D20" s="263">
        <v>427088</v>
      </c>
      <c r="E20" s="259">
        <f t="shared" si="2"/>
        <v>23820</v>
      </c>
      <c r="F20" s="64">
        <f t="shared" si="1"/>
        <v>5.9067419185256451</v>
      </c>
      <c r="G20" s="64">
        <f t="shared" si="0"/>
        <v>21.305395247337646</v>
      </c>
      <c r="H20" s="230">
        <v>403268</v>
      </c>
      <c r="I20" s="269">
        <v>427088</v>
      </c>
    </row>
    <row r="21" spans="1:11" ht="27.75" customHeight="1" x14ac:dyDescent="0.25">
      <c r="A21" s="455" t="s">
        <v>79</v>
      </c>
      <c r="B21" s="455"/>
      <c r="C21" s="263">
        <v>33401</v>
      </c>
      <c r="D21" s="263">
        <v>30999</v>
      </c>
      <c r="E21" s="259">
        <f t="shared" si="2"/>
        <v>-2402</v>
      </c>
      <c r="F21" s="64">
        <f t="shared" si="1"/>
        <v>-7.1914014550462566</v>
      </c>
      <c r="G21" s="64">
        <f t="shared" si="0"/>
        <v>1.5463931257076287</v>
      </c>
      <c r="H21" s="230">
        <v>33401</v>
      </c>
      <c r="I21" s="269">
        <v>30999</v>
      </c>
      <c r="J21" s="44"/>
      <c r="K21" s="9"/>
    </row>
    <row r="22" spans="1:11" ht="27.75" customHeight="1" x14ac:dyDescent="0.25">
      <c r="A22" s="455" t="s">
        <v>26</v>
      </c>
      <c r="B22" s="455"/>
      <c r="C22" s="263">
        <v>37970</v>
      </c>
      <c r="D22" s="263">
        <v>36000</v>
      </c>
      <c r="E22" s="259">
        <f t="shared" si="2"/>
        <v>-1970</v>
      </c>
      <c r="F22" s="64">
        <f t="shared" si="1"/>
        <v>-5.1883065578087963</v>
      </c>
      <c r="G22" s="64">
        <f t="shared" si="0"/>
        <v>1.7958693030573447</v>
      </c>
      <c r="H22" s="230">
        <v>37970</v>
      </c>
      <c r="I22" s="230"/>
    </row>
    <row r="23" spans="1:11" ht="27.75" customHeight="1" x14ac:dyDescent="0.25">
      <c r="A23" s="455" t="s">
        <v>362</v>
      </c>
      <c r="B23" s="455"/>
      <c r="C23" s="264">
        <v>4033</v>
      </c>
      <c r="D23" s="264">
        <v>3500</v>
      </c>
      <c r="E23" s="259">
        <f t="shared" si="2"/>
        <v>-533</v>
      </c>
      <c r="F23" s="64">
        <f t="shared" si="1"/>
        <v>-13.215968261839823</v>
      </c>
      <c r="G23" s="64">
        <f t="shared" si="0"/>
        <v>0.17459840446390854</v>
      </c>
      <c r="H23" s="230">
        <v>4033</v>
      </c>
      <c r="I23" s="269">
        <v>2117</v>
      </c>
    </row>
    <row r="24" spans="1:11" ht="27.75" customHeight="1" x14ac:dyDescent="0.25">
      <c r="A24" s="455" t="s">
        <v>27</v>
      </c>
      <c r="B24" s="455"/>
      <c r="C24" s="264">
        <v>465982</v>
      </c>
      <c r="D24" s="264">
        <v>410245.22</v>
      </c>
      <c r="E24" s="259">
        <f t="shared" si="2"/>
        <v>-55736.780000000028</v>
      </c>
      <c r="F24" s="64">
        <f t="shared" si="1"/>
        <v>-11.961144421887546</v>
      </c>
      <c r="G24" s="64">
        <f t="shared" si="0"/>
        <v>20.465188814555752</v>
      </c>
      <c r="H24" s="230">
        <v>465982</v>
      </c>
      <c r="I24" s="230"/>
    </row>
    <row r="25" spans="1:11" ht="27.75" customHeight="1" x14ac:dyDescent="0.25">
      <c r="A25" s="456" t="s">
        <v>28</v>
      </c>
      <c r="B25" s="456"/>
      <c r="C25" s="259">
        <f>SUM(C26:C27)</f>
        <v>754959</v>
      </c>
      <c r="D25" s="259">
        <f>SUM(D26:D27)</f>
        <v>800000</v>
      </c>
      <c r="E25" s="259">
        <f t="shared" si="2"/>
        <v>45041</v>
      </c>
      <c r="F25" s="64">
        <f t="shared" si="1"/>
        <v>5.9660193467459823</v>
      </c>
      <c r="G25" s="64">
        <f t="shared" si="0"/>
        <v>39.90820673460766</v>
      </c>
      <c r="H25" s="230">
        <v>754959</v>
      </c>
      <c r="I25" s="230"/>
    </row>
    <row r="26" spans="1:11" ht="27.75" customHeight="1" x14ac:dyDescent="0.25">
      <c r="A26" s="455" t="s">
        <v>29</v>
      </c>
      <c r="B26" s="455"/>
      <c r="C26" s="264">
        <v>754959</v>
      </c>
      <c r="D26" s="264">
        <v>800000</v>
      </c>
      <c r="E26" s="259">
        <f t="shared" si="2"/>
        <v>45041</v>
      </c>
      <c r="F26" s="64">
        <f t="shared" si="1"/>
        <v>5.9660193467459823</v>
      </c>
      <c r="G26" s="64">
        <f t="shared" si="0"/>
        <v>39.90820673460766</v>
      </c>
      <c r="H26" s="230">
        <v>754959</v>
      </c>
      <c r="I26" s="230"/>
    </row>
    <row r="27" spans="1:11" ht="27.75" customHeight="1" x14ac:dyDescent="0.25">
      <c r="A27" s="455" t="s">
        <v>361</v>
      </c>
      <c r="B27" s="455"/>
      <c r="C27" s="264"/>
      <c r="D27" s="264"/>
      <c r="E27" s="259">
        <f t="shared" si="2"/>
        <v>0</v>
      </c>
      <c r="F27" s="64">
        <f t="shared" si="1"/>
        <v>0</v>
      </c>
      <c r="G27" s="64">
        <f t="shared" si="0"/>
        <v>0</v>
      </c>
      <c r="H27" s="230">
        <v>0</v>
      </c>
      <c r="I27" s="230"/>
    </row>
    <row r="28" spans="1:11" ht="27.75" customHeight="1" x14ac:dyDescent="0.25">
      <c r="A28" s="456" t="s">
        <v>30</v>
      </c>
      <c r="B28" s="456"/>
      <c r="C28" s="259">
        <f>SUM(C11,C25)</f>
        <v>1973374</v>
      </c>
      <c r="D28" s="259">
        <f>SUM(D11,D25)</f>
        <v>2004600.22</v>
      </c>
      <c r="E28" s="259">
        <f t="shared" si="2"/>
        <v>31226.219999999972</v>
      </c>
      <c r="F28" s="64">
        <f t="shared" si="1"/>
        <v>1.5823771874971482</v>
      </c>
      <c r="G28" s="64">
        <f t="shared" si="0"/>
        <v>100</v>
      </c>
      <c r="H28" s="230">
        <v>1973374</v>
      </c>
      <c r="I28" s="230"/>
    </row>
    <row r="29" spans="1:11" ht="27.75" customHeight="1" x14ac:dyDescent="0.25">
      <c r="A29" s="458" t="s">
        <v>31</v>
      </c>
      <c r="B29" s="458"/>
      <c r="C29" s="265"/>
      <c r="D29" s="265"/>
      <c r="E29" s="265"/>
      <c r="F29" s="66"/>
      <c r="G29" s="66"/>
      <c r="H29" s="230"/>
      <c r="I29" s="230"/>
    </row>
    <row r="30" spans="1:11" ht="27.75" customHeight="1" x14ac:dyDescent="0.25">
      <c r="A30" s="457" t="s">
        <v>32</v>
      </c>
      <c r="B30" s="457"/>
      <c r="C30" s="259">
        <f>SUM(C31:C32)</f>
        <v>1921107</v>
      </c>
      <c r="D30" s="259">
        <f>SUM(D31:D32)</f>
        <v>1939965.2200000002</v>
      </c>
      <c r="E30" s="259">
        <f>D30-C30</f>
        <v>18858.220000000205</v>
      </c>
      <c r="F30" s="64">
        <f t="shared" si="1"/>
        <v>0.98163298556510414</v>
      </c>
      <c r="G30" s="64">
        <f t="shared" ref="G30:G36" si="3">IFERROR(D30/$D$36*100,0)</f>
        <v>96.775666322135791</v>
      </c>
      <c r="H30" s="230">
        <v>1921107</v>
      </c>
      <c r="I30" s="230">
        <f>I31+I32</f>
        <v>1939965.2200000002</v>
      </c>
      <c r="J30" s="270">
        <f>D30-I30</f>
        <v>0</v>
      </c>
    </row>
    <row r="31" spans="1:11" ht="27.75" customHeight="1" x14ac:dyDescent="0.25">
      <c r="A31" s="455" t="s">
        <v>33</v>
      </c>
      <c r="B31" s="455"/>
      <c r="C31" s="263">
        <v>818959</v>
      </c>
      <c r="D31" s="303">
        <f>'Quadro Geral'!J25+'Quadro Geral'!J26</f>
        <v>796000</v>
      </c>
      <c r="E31" s="259">
        <f t="shared" ref="E31:E36" si="4">D31-C31</f>
        <v>-22959</v>
      </c>
      <c r="F31" s="64">
        <f t="shared" si="1"/>
        <v>-2.8034370462990212</v>
      </c>
      <c r="G31" s="64">
        <f t="shared" si="3"/>
        <v>39.708665700934617</v>
      </c>
      <c r="H31" s="230">
        <v>818959</v>
      </c>
      <c r="I31" s="230">
        <f>SUMIF('Quadro Geral'!$B$10:$B$27,"P",'Quadro Geral'!$J$10:$J$27)</f>
        <v>796000</v>
      </c>
      <c r="J31" s="270">
        <f t="shared" ref="J31:J36" si="5">D31-I31</f>
        <v>0</v>
      </c>
    </row>
    <row r="32" spans="1:11" ht="27.75" customHeight="1" x14ac:dyDescent="0.25">
      <c r="A32" s="455" t="s">
        <v>85</v>
      </c>
      <c r="B32" s="455"/>
      <c r="C32" s="263">
        <v>1102148</v>
      </c>
      <c r="D32" s="303">
        <f>'Quadro Geral'!J10+'Quadro Geral'!J11+'Quadro Geral'!J12+'Quadro Geral'!J13+'Quadro Geral'!J14+'Quadro Geral'!J15+'Quadro Geral'!J16+'Quadro Geral'!J17+'Quadro Geral'!J18+'Quadro Geral'!J19+'Quadro Geral'!J20+'Quadro Geral'!J24</f>
        <v>1143965.2200000002</v>
      </c>
      <c r="E32" s="259">
        <f t="shared" si="4"/>
        <v>41817.220000000205</v>
      </c>
      <c r="F32" s="64">
        <f t="shared" si="1"/>
        <v>3.794156501667671</v>
      </c>
      <c r="G32" s="64">
        <f t="shared" si="3"/>
        <v>57.067000621201167</v>
      </c>
      <c r="H32" s="230">
        <v>1102148</v>
      </c>
      <c r="I32" s="230">
        <f>SUMIF('Quadro Geral'!$B$10:$B$27,"a",'Quadro Geral'!$J$10:$J$27)-I33-I34-I35</f>
        <v>1143965.2200000002</v>
      </c>
      <c r="J32" s="270">
        <f t="shared" si="5"/>
        <v>0</v>
      </c>
    </row>
    <row r="33" spans="1:12" ht="27.75" customHeight="1" x14ac:dyDescent="0.25">
      <c r="A33" s="455" t="s">
        <v>34</v>
      </c>
      <c r="B33" s="455"/>
      <c r="C33" s="263">
        <f>'Quadro Geral'!I21</f>
        <v>11850</v>
      </c>
      <c r="D33" s="303">
        <f>'Quadro Geral'!J21</f>
        <v>14751</v>
      </c>
      <c r="E33" s="259">
        <f t="shared" si="4"/>
        <v>2901</v>
      </c>
      <c r="F33" s="64">
        <f t="shared" si="1"/>
        <v>24.481012658227851</v>
      </c>
      <c r="G33" s="64">
        <f t="shared" si="3"/>
        <v>0.73585744692774702</v>
      </c>
      <c r="H33" s="230">
        <v>11850</v>
      </c>
      <c r="I33" s="230">
        <f>'Quadro Geral'!J21</f>
        <v>14751</v>
      </c>
      <c r="J33" s="270">
        <f t="shared" si="5"/>
        <v>0</v>
      </c>
    </row>
    <row r="34" spans="1:12" ht="27.75" customHeight="1" x14ac:dyDescent="0.25">
      <c r="A34" s="455" t="s">
        <v>84</v>
      </c>
      <c r="B34" s="455"/>
      <c r="C34" s="263">
        <v>40417</v>
      </c>
      <c r="D34" s="303">
        <f>'Quadro Geral'!J22+'Quadro Geral'!J23</f>
        <v>39884</v>
      </c>
      <c r="E34" s="259">
        <f t="shared" si="4"/>
        <v>-533</v>
      </c>
      <c r="F34" s="64">
        <f t="shared" si="1"/>
        <v>-1.3187520102926986</v>
      </c>
      <c r="G34" s="64">
        <f t="shared" si="3"/>
        <v>1.9896236467538648</v>
      </c>
      <c r="H34" s="230">
        <v>40417</v>
      </c>
      <c r="I34" s="230">
        <f>'Quadro Geral'!J22+'Quadro Geral'!J23</f>
        <v>39884</v>
      </c>
      <c r="J34" s="270">
        <f t="shared" si="5"/>
        <v>0</v>
      </c>
    </row>
    <row r="35" spans="1:12" ht="27.75" customHeight="1" x14ac:dyDescent="0.25">
      <c r="A35" s="455" t="s">
        <v>39</v>
      </c>
      <c r="B35" s="455"/>
      <c r="C35" s="263">
        <f>'Quadro Geral'!I27</f>
        <v>0</v>
      </c>
      <c r="D35" s="303">
        <f>'Quadro Geral'!J27</f>
        <v>10000</v>
      </c>
      <c r="E35" s="259">
        <f t="shared" si="4"/>
        <v>10000</v>
      </c>
      <c r="F35" s="64">
        <f t="shared" si="1"/>
        <v>0</v>
      </c>
      <c r="G35" s="64">
        <f t="shared" si="3"/>
        <v>0.4988525841825957</v>
      </c>
      <c r="H35" s="230">
        <v>0</v>
      </c>
      <c r="I35" s="230">
        <f>'Quadro Geral'!J27</f>
        <v>10000</v>
      </c>
      <c r="J35" s="270">
        <f t="shared" si="5"/>
        <v>0</v>
      </c>
    </row>
    <row r="36" spans="1:12" ht="27.75" customHeight="1" x14ac:dyDescent="0.25">
      <c r="A36" s="456" t="s">
        <v>35</v>
      </c>
      <c r="B36" s="456"/>
      <c r="C36" s="259">
        <f>SUM(C30,C33:C35)</f>
        <v>1973374</v>
      </c>
      <c r="D36" s="259">
        <f>SUM(D30,D33:D35)</f>
        <v>2004600.2200000002</v>
      </c>
      <c r="E36" s="259">
        <f t="shared" si="4"/>
        <v>31226.220000000205</v>
      </c>
      <c r="F36" s="64">
        <f t="shared" si="1"/>
        <v>1.5823771874971599</v>
      </c>
      <c r="G36" s="64">
        <f t="shared" si="3"/>
        <v>100</v>
      </c>
      <c r="H36" s="230">
        <v>1973374</v>
      </c>
      <c r="I36" s="230">
        <f>I30+I35+I34+I33</f>
        <v>2004600.2200000002</v>
      </c>
      <c r="J36" s="270">
        <f t="shared" si="5"/>
        <v>0</v>
      </c>
    </row>
    <row r="37" spans="1:12" ht="27.75" customHeight="1" x14ac:dyDescent="0.25">
      <c r="A37" s="455" t="s">
        <v>36</v>
      </c>
      <c r="B37" s="455"/>
      <c r="C37" s="266">
        <f>C28-C36</f>
        <v>0</v>
      </c>
      <c r="D37" s="266">
        <f>D28-D36</f>
        <v>0</v>
      </c>
      <c r="E37" s="266">
        <f t="shared" ref="E37" si="6">E28-E36</f>
        <v>-2.3283064365386963E-10</v>
      </c>
      <c r="F37" s="67"/>
      <c r="G37" s="67"/>
      <c r="I37" s="230"/>
    </row>
    <row r="38" spans="1:12" x14ac:dyDescent="0.25">
      <c r="A38" s="474" t="s">
        <v>143</v>
      </c>
      <c r="B38" s="474"/>
      <c r="C38" s="474"/>
      <c r="D38" s="474"/>
      <c r="E38" s="474"/>
      <c r="F38" s="474"/>
      <c r="G38" s="474"/>
      <c r="I38" s="230"/>
    </row>
    <row r="39" spans="1:12" ht="42" customHeight="1" x14ac:dyDescent="0.25">
      <c r="A39" s="165"/>
      <c r="B39" s="165"/>
      <c r="C39" s="165"/>
      <c r="D39" s="165"/>
      <c r="E39" s="165"/>
      <c r="F39" s="165"/>
      <c r="G39" s="165"/>
    </row>
    <row r="40" spans="1:12" ht="31.5" customHeight="1" x14ac:dyDescent="0.25">
      <c r="A40" s="466" t="s">
        <v>282</v>
      </c>
      <c r="B40" s="466"/>
      <c r="C40" s="466"/>
      <c r="D40" s="466"/>
      <c r="E40" s="466"/>
      <c r="F40" s="466"/>
      <c r="G40" s="466"/>
    </row>
    <row r="41" spans="1:12" ht="24.75" customHeight="1" x14ac:dyDescent="0.25">
      <c r="A41" s="97" t="s">
        <v>120</v>
      </c>
      <c r="B41" s="466" t="s">
        <v>123</v>
      </c>
      <c r="C41" s="466"/>
      <c r="D41" s="466"/>
      <c r="E41" s="466" t="s">
        <v>124</v>
      </c>
      <c r="F41" s="466"/>
      <c r="G41" s="466"/>
      <c r="I41" s="9"/>
      <c r="J41" s="9"/>
      <c r="K41" s="9"/>
      <c r="L41" s="9"/>
    </row>
    <row r="42" spans="1:12" ht="41.25" customHeight="1" x14ac:dyDescent="0.25">
      <c r="A42" s="97"/>
      <c r="B42" s="95" t="s">
        <v>273</v>
      </c>
      <c r="C42" s="95" t="s">
        <v>274</v>
      </c>
      <c r="D42" s="95" t="s">
        <v>125</v>
      </c>
      <c r="E42" s="95" t="s">
        <v>283</v>
      </c>
      <c r="F42" s="95" t="s">
        <v>284</v>
      </c>
      <c r="G42" s="95" t="s">
        <v>137</v>
      </c>
      <c r="I42" s="9"/>
      <c r="J42" s="9"/>
      <c r="K42" s="9"/>
      <c r="L42" s="9"/>
    </row>
    <row r="43" spans="1:12" ht="33.75" customHeight="1" x14ac:dyDescent="0.25">
      <c r="A43" s="65" t="s">
        <v>121</v>
      </c>
      <c r="B43" s="267">
        <f>C11</f>
        <v>1218415</v>
      </c>
      <c r="C43" s="267">
        <f>D11</f>
        <v>1204600.22</v>
      </c>
      <c r="D43" s="102">
        <f>(IFERROR(C43/B43*100-100,0))</f>
        <v>-1.1338320687122234</v>
      </c>
      <c r="E43" s="266">
        <v>1168511.5000000002</v>
      </c>
      <c r="F43" s="266">
        <f>'Anexo_1.3_ Elemento de Despesas'!P49</f>
        <v>1204600.2200000002</v>
      </c>
      <c r="G43" s="102">
        <f>(IFERROR(F43/E43*100-100,0))</f>
        <v>3.0884351587468331</v>
      </c>
      <c r="H43" s="230" t="s">
        <v>566</v>
      </c>
      <c r="I43" s="9"/>
      <c r="J43" s="277"/>
      <c r="K43" s="278"/>
      <c r="L43" s="9"/>
    </row>
    <row r="44" spans="1:12" ht="33.75" customHeight="1" x14ac:dyDescent="0.25">
      <c r="A44" s="65" t="s">
        <v>122</v>
      </c>
      <c r="B44" s="267">
        <f>C25</f>
        <v>754959</v>
      </c>
      <c r="C44" s="267">
        <f>D25</f>
        <v>800000</v>
      </c>
      <c r="D44" s="102">
        <f t="shared" ref="D44:D45" si="7">(IFERROR(C44/B44*100-100,0))</f>
        <v>5.9660193467459806</v>
      </c>
      <c r="E44" s="266">
        <v>804862.5</v>
      </c>
      <c r="F44" s="267">
        <f>'Anexo_1.3_ Elemento de Despesas'!Q49</f>
        <v>800000</v>
      </c>
      <c r="G44" s="102">
        <f t="shared" ref="G44:G45" si="8">(IFERROR(F44/E44*100-100,0))</f>
        <v>-0.60414045877401179</v>
      </c>
      <c r="H44" s="230" t="s">
        <v>566</v>
      </c>
      <c r="I44" s="9"/>
      <c r="J44" s="277"/>
      <c r="K44" s="278"/>
      <c r="L44" s="9"/>
    </row>
    <row r="45" spans="1:12" ht="27.75" customHeight="1" x14ac:dyDescent="0.25">
      <c r="A45" s="98" t="s">
        <v>0</v>
      </c>
      <c r="B45" s="268">
        <f>SUM(B43:B44)</f>
        <v>1973374</v>
      </c>
      <c r="C45" s="268">
        <f t="shared" ref="C45:F45" si="9">SUM(C43:C44)</f>
        <v>2004600.22</v>
      </c>
      <c r="D45" s="276">
        <f t="shared" si="7"/>
        <v>1.5823771874971442</v>
      </c>
      <c r="E45" s="268">
        <f t="shared" si="9"/>
        <v>1973374.0000000002</v>
      </c>
      <c r="F45" s="268">
        <f t="shared" si="9"/>
        <v>2004600.2200000002</v>
      </c>
      <c r="G45" s="276">
        <f t="shared" si="8"/>
        <v>1.5823771874971442</v>
      </c>
      <c r="H45" s="230"/>
      <c r="I45" s="9"/>
      <c r="J45" s="277"/>
      <c r="K45" s="278"/>
      <c r="L45" s="9"/>
    </row>
    <row r="46" spans="1:12" x14ac:dyDescent="0.25">
      <c r="A46" s="464"/>
      <c r="B46" s="465"/>
      <c r="C46" s="465"/>
      <c r="D46" s="465"/>
      <c r="E46" s="465"/>
      <c r="F46" s="465"/>
      <c r="G46" s="465"/>
      <c r="I46" s="9"/>
      <c r="J46" s="9"/>
      <c r="K46" s="9"/>
      <c r="L46" s="9"/>
    </row>
    <row r="47" spans="1:12" x14ac:dyDescent="0.25">
      <c r="I47" s="9"/>
      <c r="J47" s="9"/>
      <c r="K47" s="9"/>
      <c r="L47" s="9"/>
    </row>
    <row r="48" spans="1:12" ht="15.75" x14ac:dyDescent="0.25">
      <c r="A48" s="271" t="s">
        <v>20</v>
      </c>
      <c r="B48" s="271" t="s">
        <v>285</v>
      </c>
      <c r="C48" s="271" t="s">
        <v>286</v>
      </c>
      <c r="I48" s="9"/>
      <c r="J48" s="9"/>
      <c r="K48" s="9"/>
      <c r="L48" s="9"/>
    </row>
    <row r="49" spans="1:3" ht="15.75" x14ac:dyDescent="0.25">
      <c r="A49" s="272" t="s">
        <v>287</v>
      </c>
      <c r="B49" s="267">
        <f>D11</f>
        <v>1204600.22</v>
      </c>
      <c r="C49" s="267">
        <f>D25</f>
        <v>800000</v>
      </c>
    </row>
    <row r="50" spans="1:3" ht="15.75" x14ac:dyDescent="0.25">
      <c r="A50" s="272" t="s">
        <v>288</v>
      </c>
      <c r="B50" s="266">
        <f>'Anexo_1.3_ Elemento de Despesas'!P49</f>
        <v>1204600.2200000002</v>
      </c>
      <c r="C50" s="266">
        <f>'Anexo_1.3_ Elemento de Despesas'!Q49</f>
        <v>800000</v>
      </c>
    </row>
    <row r="51" spans="1:3" ht="15.75" x14ac:dyDescent="0.25">
      <c r="A51" s="273" t="s">
        <v>36</v>
      </c>
      <c r="B51" s="274">
        <f>B49-B50</f>
        <v>0</v>
      </c>
      <c r="C51" s="274">
        <f>C49-C50</f>
        <v>0</v>
      </c>
    </row>
  </sheetData>
  <mergeCells count="47">
    <mergeCell ref="Q13:Q14"/>
    <mergeCell ref="J13:J14"/>
    <mergeCell ref="K13:K14"/>
    <mergeCell ref="L13:L14"/>
    <mergeCell ref="M13:M14"/>
    <mergeCell ref="N13:N14"/>
    <mergeCell ref="O13:O14"/>
    <mergeCell ref="P13:P14"/>
    <mergeCell ref="A17:B17"/>
    <mergeCell ref="A18:B18"/>
    <mergeCell ref="A19:B19"/>
    <mergeCell ref="A20:B20"/>
    <mergeCell ref="A38:G38"/>
    <mergeCell ref="A33:B33"/>
    <mergeCell ref="A32:B32"/>
    <mergeCell ref="C8:C9"/>
    <mergeCell ref="A8:B9"/>
    <mergeCell ref="A10:B10"/>
    <mergeCell ref="A46:G46"/>
    <mergeCell ref="B41:D41"/>
    <mergeCell ref="E41:G41"/>
    <mergeCell ref="A30:B30"/>
    <mergeCell ref="D8:D9"/>
    <mergeCell ref="E8:F8"/>
    <mergeCell ref="G8:G9"/>
    <mergeCell ref="A31:B31"/>
    <mergeCell ref="A40:G40"/>
    <mergeCell ref="A13:B13"/>
    <mergeCell ref="A14:B14"/>
    <mergeCell ref="A15:B15"/>
    <mergeCell ref="A16:B16"/>
    <mergeCell ref="A4:G4"/>
    <mergeCell ref="A35:B35"/>
    <mergeCell ref="A36:B36"/>
    <mergeCell ref="A37:B37"/>
    <mergeCell ref="A11:B11"/>
    <mergeCell ref="A12:B12"/>
    <mergeCell ref="A21:B21"/>
    <mergeCell ref="A22:B22"/>
    <mergeCell ref="A23:B23"/>
    <mergeCell ref="A24:B24"/>
    <mergeCell ref="A25:B25"/>
    <mergeCell ref="A34:B34"/>
    <mergeCell ref="A26:B26"/>
    <mergeCell ref="A27:B27"/>
    <mergeCell ref="A28:B28"/>
    <mergeCell ref="A29:B29"/>
  </mergeCells>
  <pageMargins left="0.23622047244094491" right="0.23622047244094491" top="0.74803149606299213" bottom="0.74803149606299213" header="0.31496062992125984" footer="0.31496062992125984"/>
  <pageSetup paperSize="9" scale="81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rgb="FF92D050"/>
  </sheetPr>
  <dimension ref="A5:AA63"/>
  <sheetViews>
    <sheetView showGridLines="0" zoomScale="70" zoomScaleNormal="70" workbookViewId="0">
      <selection activeCell="R49" sqref="R49"/>
    </sheetView>
  </sheetViews>
  <sheetFormatPr defaultColWidth="8.85546875" defaultRowHeight="15" x14ac:dyDescent="0.25"/>
  <cols>
    <col min="1" max="1" width="55.7109375" customWidth="1"/>
    <col min="2" max="3" width="8.7109375" style="10" customWidth="1"/>
    <col min="4" max="4" width="66.85546875" customWidth="1"/>
    <col min="5" max="5" width="19.85546875" customWidth="1"/>
    <col min="6" max="6" width="1.85546875" customWidth="1"/>
    <col min="7" max="13" width="19.5703125" customWidth="1"/>
    <col min="14" max="14" width="19.5703125" style="181" customWidth="1"/>
    <col min="15" max="18" width="19.5703125" customWidth="1"/>
    <col min="19" max="19" width="9.42578125" customWidth="1"/>
    <col min="20" max="20" width="16.140625" style="9" bestFit="1" customWidth="1"/>
  </cols>
  <sheetData>
    <row r="5" spans="1:27" s="81" customFormat="1" ht="37.5" customHeight="1" x14ac:dyDescent="0.3">
      <c r="A5" s="34" t="s">
        <v>78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U5" s="82"/>
    </row>
    <row r="6" spans="1:27" ht="21.75" customHeight="1" x14ac:dyDescent="0.25">
      <c r="A6" s="476" t="s">
        <v>391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U6" s="11"/>
    </row>
    <row r="7" spans="1:27" s="12" customFormat="1" ht="26.25" customHeight="1" x14ac:dyDescent="0.25">
      <c r="A7" s="481" t="s">
        <v>289</v>
      </c>
      <c r="B7" s="482"/>
      <c r="C7" s="482"/>
      <c r="D7" s="482"/>
      <c r="E7" s="482"/>
      <c r="F7" s="482"/>
      <c r="G7" s="483"/>
      <c r="H7" s="483"/>
      <c r="I7" s="483"/>
      <c r="J7" s="483"/>
      <c r="K7" s="483"/>
      <c r="L7" s="483"/>
      <c r="M7" s="483"/>
      <c r="N7" s="483"/>
      <c r="O7" s="483"/>
      <c r="P7" s="483"/>
      <c r="Q7" s="483"/>
      <c r="R7" s="483"/>
      <c r="S7" s="484"/>
      <c r="T7" s="35"/>
      <c r="U7" s="13"/>
    </row>
    <row r="8" spans="1:27" x14ac:dyDescent="0.25">
      <c r="A8" s="5"/>
      <c r="B8" s="73"/>
      <c r="C8" s="73"/>
      <c r="D8" s="5"/>
      <c r="E8" s="5"/>
      <c r="F8" s="5"/>
    </row>
    <row r="9" spans="1:27" s="15" customFormat="1" ht="18.75" hidden="1" x14ac:dyDescent="0.3">
      <c r="A9" s="68"/>
      <c r="B9" s="31"/>
      <c r="C9" s="31"/>
      <c r="D9" s="30"/>
      <c r="E9" s="69"/>
      <c r="F9" s="14"/>
      <c r="G9" s="14"/>
      <c r="H9" s="14"/>
      <c r="I9" s="14"/>
      <c r="J9" s="14"/>
      <c r="K9" s="14"/>
      <c r="L9" s="14"/>
      <c r="M9" s="14"/>
      <c r="N9" s="182"/>
      <c r="O9" s="14"/>
      <c r="P9" s="14"/>
      <c r="Q9" s="14"/>
      <c r="R9" s="14"/>
      <c r="S9" s="14"/>
      <c r="T9" s="306"/>
      <c r="U9" s="16"/>
    </row>
    <row r="10" spans="1:27" s="17" customFormat="1" ht="27" customHeight="1" x14ac:dyDescent="0.25">
      <c r="A10" s="480" t="s">
        <v>17</v>
      </c>
      <c r="B10" s="477" t="s">
        <v>382</v>
      </c>
      <c r="C10" s="477" t="s">
        <v>56</v>
      </c>
      <c r="D10" s="477" t="s">
        <v>58</v>
      </c>
      <c r="E10" s="477" t="s">
        <v>277</v>
      </c>
      <c r="F10" s="70"/>
      <c r="G10" s="479" t="s">
        <v>5</v>
      </c>
      <c r="H10" s="479"/>
      <c r="I10" s="477" t="s">
        <v>59</v>
      </c>
      <c r="J10" s="498" t="s">
        <v>60</v>
      </c>
      <c r="K10" s="499"/>
      <c r="L10" s="499"/>
      <c r="M10" s="500" t="s">
        <v>349</v>
      </c>
      <c r="N10" s="500" t="s">
        <v>376</v>
      </c>
      <c r="O10" s="478" t="s">
        <v>61</v>
      </c>
      <c r="P10" s="478" t="s">
        <v>62</v>
      </c>
      <c r="Q10" s="477" t="s">
        <v>6</v>
      </c>
      <c r="R10" s="479" t="s">
        <v>0</v>
      </c>
      <c r="S10" s="479" t="s">
        <v>63</v>
      </c>
      <c r="T10" s="307"/>
      <c r="U10" s="18"/>
    </row>
    <row r="11" spans="1:27" s="17" customFormat="1" ht="40.15" customHeight="1" x14ac:dyDescent="0.25">
      <c r="A11" s="480"/>
      <c r="B11" s="477"/>
      <c r="C11" s="477"/>
      <c r="D11" s="477"/>
      <c r="E11" s="477"/>
      <c r="F11" s="71"/>
      <c r="G11" s="96" t="s">
        <v>92</v>
      </c>
      <c r="H11" s="96" t="s">
        <v>64</v>
      </c>
      <c r="I11" s="477"/>
      <c r="J11" s="96" t="s">
        <v>64</v>
      </c>
      <c r="K11" s="96" t="s">
        <v>65</v>
      </c>
      <c r="L11" s="96" t="s">
        <v>66</v>
      </c>
      <c r="M11" s="501"/>
      <c r="N11" s="501"/>
      <c r="O11" s="478"/>
      <c r="P11" s="478"/>
      <c r="Q11" s="477"/>
      <c r="R11" s="479"/>
      <c r="S11" s="479"/>
      <c r="T11" s="307"/>
      <c r="U11" s="497"/>
      <c r="V11" s="497"/>
      <c r="W11" s="497"/>
      <c r="X11" s="497"/>
      <c r="Y11" s="497"/>
      <c r="Z11" s="497"/>
      <c r="AA11" s="497"/>
    </row>
    <row r="12" spans="1:27" s="14" customFormat="1" ht="54.75" customHeight="1" x14ac:dyDescent="0.3">
      <c r="A12" s="24" t="str">
        <f>'Quadro Geral'!A10</f>
        <v>Presidência</v>
      </c>
      <c r="B12" s="25" t="str">
        <f>'Quadro Geral'!B10</f>
        <v>A</v>
      </c>
      <c r="C12" s="26" t="str">
        <f>'Quadro Geral'!C10</f>
        <v>X</v>
      </c>
      <c r="D12" s="27" t="str">
        <f>'Quadro Geral'!D10</f>
        <v>Manter e Desenvolver as Atividades da Presidência e do Plenário do CAU/TO</v>
      </c>
      <c r="E12" s="279">
        <f>'Quadro Geral'!J10</f>
        <v>88860.9</v>
      </c>
      <c r="F12" s="280"/>
      <c r="G12" s="281">
        <f>'Anexo 1.4-Presidência'!I25</f>
        <v>52219.42</v>
      </c>
      <c r="H12" s="281"/>
      <c r="I12" s="281">
        <f>'Anexo 1.4-Presidência'!I26</f>
        <v>600</v>
      </c>
      <c r="J12" s="281">
        <f>'Anexo 1.4-Presidência'!I21+'Anexo 1.4-Presidência'!I22+'Anexo 1.4-Presidência'!I23</f>
        <v>23441.48</v>
      </c>
      <c r="K12" s="281">
        <f>'Anexo 1.4-Presidência'!I24</f>
        <v>12600</v>
      </c>
      <c r="L12" s="281"/>
      <c r="M12" s="281"/>
      <c r="N12" s="281"/>
      <c r="O12" s="281"/>
      <c r="P12" s="282">
        <f t="shared" ref="P12:P48" si="0">SUM(G12:O12)</f>
        <v>88860.9</v>
      </c>
      <c r="Q12" s="281"/>
      <c r="R12" s="282">
        <f>P12+Q12</f>
        <v>88860.9</v>
      </c>
      <c r="S12" s="23">
        <f t="shared" ref="S12:S28" si="1">IFERROR(R12/$R$49*100,0)</f>
        <v>0</v>
      </c>
      <c r="T12" s="32" t="b">
        <f>E12=$R12</f>
        <v>1</v>
      </c>
    </row>
    <row r="13" spans="1:27" s="14" customFormat="1" ht="54.75" customHeight="1" x14ac:dyDescent="0.3">
      <c r="A13" s="24" t="str">
        <f>'Quadro Geral'!A11</f>
        <v xml:space="preserve"> Comissão de Planejamento Administração e Finanças do CAU/TO - CPAF/TO</v>
      </c>
      <c r="B13" s="25" t="str">
        <f>'Quadro Geral'!B11</f>
        <v>A</v>
      </c>
      <c r="C13" s="26">
        <f>'Quadro Geral'!C11</f>
        <v>0</v>
      </c>
      <c r="D13" s="27" t="str">
        <f>'Quadro Geral'!D11</f>
        <v>Manter as atividades da Comissão de Planejamento Administração e Finanças do CAU/TO - CPAF/TO</v>
      </c>
      <c r="E13" s="279">
        <f>'Quadro Geral'!J11</f>
        <v>10493.42</v>
      </c>
      <c r="F13" s="280"/>
      <c r="G13" s="281"/>
      <c r="H13" s="281"/>
      <c r="I13" s="281"/>
      <c r="J13" s="281">
        <f>'Anexo 1.4-CPAFi'!I22+'Anexo 1.4-CPAFi'!I23+'Anexo 1.4-CPAFi'!I24</f>
        <v>7693.42</v>
      </c>
      <c r="K13" s="281">
        <f>'Anexo 1.4-CPAFi'!I25</f>
        <v>2800</v>
      </c>
      <c r="L13" s="281"/>
      <c r="M13" s="281"/>
      <c r="N13" s="281"/>
      <c r="O13" s="281"/>
      <c r="P13" s="282">
        <f t="shared" si="0"/>
        <v>10493.42</v>
      </c>
      <c r="Q13" s="281"/>
      <c r="R13" s="282">
        <f t="shared" ref="R13:R29" si="2">P13+Q13</f>
        <v>10493.42</v>
      </c>
      <c r="S13" s="23">
        <f t="shared" si="1"/>
        <v>0</v>
      </c>
      <c r="T13" s="32" t="b">
        <f t="shared" ref="T13:T49" si="3">E13=$R13</f>
        <v>1</v>
      </c>
    </row>
    <row r="14" spans="1:27" s="14" customFormat="1" ht="54.75" customHeight="1" x14ac:dyDescent="0.3">
      <c r="A14" s="24" t="str">
        <f>'Quadro Geral'!A12</f>
        <v>Comissão de Ética e Disciplina e  Exercício Profissional - CEDEP/TO</v>
      </c>
      <c r="B14" s="25" t="str">
        <f>'Quadro Geral'!B12</f>
        <v>A</v>
      </c>
      <c r="C14" s="26">
        <f>'Quadro Geral'!C12</f>
        <v>0</v>
      </c>
      <c r="D14" s="27" t="str">
        <f>'Quadro Geral'!D12</f>
        <v>Manter as atividades da Comissão de Ética e Disciplina e  Exercício Profissional - CEDEP/TO</v>
      </c>
      <c r="E14" s="279">
        <f>'Quadro Geral'!J12</f>
        <v>16916.09</v>
      </c>
      <c r="F14" s="280"/>
      <c r="G14" s="281"/>
      <c r="H14" s="281"/>
      <c r="I14" s="281"/>
      <c r="J14" s="281">
        <f>'Anexo 1.4-CEDEP'!I22+'Anexo 1.4-CEDEP'!I23+'Anexo 1.4-CEDEP'!I24</f>
        <v>11316.09</v>
      </c>
      <c r="K14" s="281">
        <f>'Anexo 1.4-CEDEP'!I25</f>
        <v>5600</v>
      </c>
      <c r="L14" s="281"/>
      <c r="M14" s="281"/>
      <c r="N14" s="281"/>
      <c r="O14" s="281"/>
      <c r="P14" s="282">
        <f t="shared" si="0"/>
        <v>16916.09</v>
      </c>
      <c r="Q14" s="281"/>
      <c r="R14" s="282">
        <f t="shared" si="2"/>
        <v>16916.09</v>
      </c>
      <c r="S14" s="23">
        <f t="shared" si="1"/>
        <v>0</v>
      </c>
      <c r="T14" s="32" t="b">
        <f t="shared" si="3"/>
        <v>1</v>
      </c>
    </row>
    <row r="15" spans="1:27" s="14" customFormat="1" ht="54.75" customHeight="1" x14ac:dyDescent="0.3">
      <c r="A15" s="24" t="str">
        <f>'Quadro Geral'!A13</f>
        <v xml:space="preserve"> Comissão de Ensino e Formação do CAU/TO - CEF/TO</v>
      </c>
      <c r="B15" s="25" t="str">
        <f>'Quadro Geral'!B13</f>
        <v>A</v>
      </c>
      <c r="C15" s="26">
        <f>'Quadro Geral'!C13</f>
        <v>0</v>
      </c>
      <c r="D15" s="27" t="str">
        <f>'Quadro Geral'!D13</f>
        <v>Manter as atividades da Comissão de Ensino e Formação do CAU/TO - CEF/TO</v>
      </c>
      <c r="E15" s="279">
        <f>'Quadro Geral'!J13</f>
        <v>23658.03</v>
      </c>
      <c r="F15" s="280"/>
      <c r="G15" s="281"/>
      <c r="H15" s="305"/>
      <c r="I15" s="305"/>
      <c r="J15" s="305">
        <f>'Anexo 1.4-CEF'!I22+'Anexo 1.4-CEF'!I23+'Anexo 1.4-CEF'!I24</f>
        <v>7346.3899999999994</v>
      </c>
      <c r="K15" s="305">
        <f>'Anexo 1.4-CEF'!I25</f>
        <v>2800</v>
      </c>
      <c r="L15" s="305">
        <f>'Anexo 1.4-CEF'!I27+'Anexo 1.4-CEF'!I26</f>
        <v>13511.64</v>
      </c>
      <c r="M15" s="305"/>
      <c r="N15" s="305"/>
      <c r="O15" s="305"/>
      <c r="P15" s="282">
        <f t="shared" si="0"/>
        <v>23658.03</v>
      </c>
      <c r="Q15" s="281"/>
      <c r="R15" s="282">
        <f t="shared" si="2"/>
        <v>23658.03</v>
      </c>
      <c r="S15" s="23">
        <f t="shared" si="1"/>
        <v>0</v>
      </c>
      <c r="T15" s="308" t="b">
        <f t="shared" si="3"/>
        <v>1</v>
      </c>
    </row>
    <row r="16" spans="1:27" s="14" customFormat="1" ht="54.75" customHeight="1" x14ac:dyDescent="0.3">
      <c r="A16" s="24" t="str">
        <f>'Quadro Geral'!A14</f>
        <v xml:space="preserve"> Comissão de Políticas Públicas Urbanas e Ambientais do TO - CPPUA/TO</v>
      </c>
      <c r="B16" s="25" t="str">
        <f>'Quadro Geral'!B14</f>
        <v>A</v>
      </c>
      <c r="C16" s="26">
        <f>'Quadro Geral'!C14</f>
        <v>0</v>
      </c>
      <c r="D16" s="27" t="str">
        <f>'Quadro Geral'!D14</f>
        <v>Manter as atividades da Comissão de Políticas Públicas Urbanas e Ambientais do TO - CPPUA/TO</v>
      </c>
      <c r="E16" s="279">
        <f>'Quadro Geral'!J14</f>
        <v>10135</v>
      </c>
      <c r="F16" s="280"/>
      <c r="G16" s="281"/>
      <c r="H16" s="281"/>
      <c r="I16" s="281"/>
      <c r="J16" s="281">
        <f>'Anexo 1.4-CPPUA'!I22</f>
        <v>2835</v>
      </c>
      <c r="K16" s="281">
        <f>'Anexo 1.4-CPPUA'!I23</f>
        <v>2800</v>
      </c>
      <c r="L16" s="281">
        <f>'Anexo 1.4-CPPUA'!I24</f>
        <v>4500</v>
      </c>
      <c r="M16" s="281"/>
      <c r="N16" s="281"/>
      <c r="O16" s="281"/>
      <c r="P16" s="282">
        <f t="shared" si="0"/>
        <v>10135</v>
      </c>
      <c r="Q16" s="281"/>
      <c r="R16" s="282">
        <f t="shared" si="2"/>
        <v>10135</v>
      </c>
      <c r="S16" s="23">
        <f t="shared" si="1"/>
        <v>0</v>
      </c>
      <c r="T16" s="32" t="b">
        <f t="shared" si="3"/>
        <v>1</v>
      </c>
    </row>
    <row r="17" spans="1:20" s="14" customFormat="1" ht="54.75" customHeight="1" x14ac:dyDescent="0.3">
      <c r="A17" s="24" t="str">
        <f>'Quadro Geral'!A15</f>
        <v>Gerência Técnica e de Fiscalização</v>
      </c>
      <c r="B17" s="25" t="str">
        <f>'Quadro Geral'!B15</f>
        <v>A</v>
      </c>
      <c r="C17" s="26" t="str">
        <f>'Quadro Geral'!C15</f>
        <v>X</v>
      </c>
      <c r="D17" s="27" t="str">
        <f>'Quadro Geral'!D15</f>
        <v>Manter e Desenvolver as Atividades da Gerência Técnica e de Fiscalização do CAU/TO</v>
      </c>
      <c r="E17" s="279">
        <f>'Quadro Geral'!J15</f>
        <v>281764.95999999996</v>
      </c>
      <c r="F17" s="280"/>
      <c r="G17" s="281">
        <f>'Anexo 1.4-Ger Tec Fisc'!I22</f>
        <v>258544.96</v>
      </c>
      <c r="H17" s="281">
        <f>'Anexo 1.4-Ger Tec Fisc'!I23</f>
        <v>5832</v>
      </c>
      <c r="I17" s="281">
        <f>'Anexo 1.4-Ger Tec Fisc'!I27</f>
        <v>1000</v>
      </c>
      <c r="J17" s="281"/>
      <c r="K17" s="281"/>
      <c r="L17" s="281">
        <f>'Anexo 1.4-Ger Tec Fisc'!I26+'Anexo 1.4-Ger Tec Fisc'!I28</f>
        <v>16388</v>
      </c>
      <c r="M17" s="281"/>
      <c r="N17" s="281"/>
      <c r="O17" s="281"/>
      <c r="P17" s="282">
        <f t="shared" si="0"/>
        <v>281764.95999999996</v>
      </c>
      <c r="Q17" s="281"/>
      <c r="R17" s="282">
        <f t="shared" si="2"/>
        <v>281764.95999999996</v>
      </c>
      <c r="S17" s="23">
        <f t="shared" si="1"/>
        <v>0</v>
      </c>
      <c r="T17" s="32" t="b">
        <f t="shared" si="3"/>
        <v>1</v>
      </c>
    </row>
    <row r="18" spans="1:20" s="14" customFormat="1" ht="54.75" customHeight="1" x14ac:dyDescent="0.3">
      <c r="A18" s="24" t="str">
        <f>'Quadro Geral'!A16</f>
        <v xml:space="preserve">Gerência Administrativa e Financeira </v>
      </c>
      <c r="B18" s="25" t="str">
        <f>'Quadro Geral'!B16</f>
        <v>A</v>
      </c>
      <c r="C18" s="26" t="str">
        <f>'Quadro Geral'!C16</f>
        <v>X</v>
      </c>
      <c r="D18" s="27" t="str">
        <f>'Quadro Geral'!D16</f>
        <v xml:space="preserve">Manter e desenvolver as Atividades da Gerência Administrativa e Financeira </v>
      </c>
      <c r="E18" s="279">
        <f>'Quadro Geral'!J16</f>
        <v>489943.95</v>
      </c>
      <c r="F18" s="280"/>
      <c r="G18" s="281">
        <f>'Anexo 1.4-Ger Adm Finan'!I22</f>
        <v>310943.95</v>
      </c>
      <c r="H18" s="281"/>
      <c r="I18" s="281">
        <f>'Anexo 1.4-Ger Adm Finan'!I27</f>
        <v>5000</v>
      </c>
      <c r="J18" s="281"/>
      <c r="K18" s="281"/>
      <c r="L18" s="281">
        <f>'Anexo 1.4-Ger Adm Finan'!I23+'Anexo 1.4-Ger Adm Finan'!I25+'Anexo 1.4-Ger Adm Finan'!I26+'Anexo 1.4-Ger Adm Finan'!I32+'Anexo 1.4-Ger Adm Finan'!I24</f>
        <v>166000</v>
      </c>
      <c r="M18" s="281"/>
      <c r="N18" s="281"/>
      <c r="O18" s="281"/>
      <c r="P18" s="282">
        <f t="shared" si="0"/>
        <v>481943.95</v>
      </c>
      <c r="Q18" s="281">
        <f>'Anexo 1.4-Ger Adm Finan'!I28+'Anexo 1.4-Ger Adm Finan'!I29</f>
        <v>8000</v>
      </c>
      <c r="R18" s="282">
        <f t="shared" si="2"/>
        <v>489943.95</v>
      </c>
      <c r="S18" s="23">
        <f t="shared" si="1"/>
        <v>0</v>
      </c>
      <c r="T18" s="32" t="b">
        <f t="shared" si="3"/>
        <v>1</v>
      </c>
    </row>
    <row r="19" spans="1:20" s="14" customFormat="1" ht="54.75" customHeight="1" x14ac:dyDescent="0.3">
      <c r="A19" s="24" t="str">
        <f>'Quadro Geral'!A17</f>
        <v xml:space="preserve">Gerência Administrativa e Financeira </v>
      </c>
      <c r="B19" s="25" t="str">
        <f>'Quadro Geral'!B17</f>
        <v>A</v>
      </c>
      <c r="C19" s="26" t="str">
        <f>'Quadro Geral'!C17</f>
        <v>X</v>
      </c>
      <c r="D19" s="27" t="str">
        <f>'Quadro Geral'!D17</f>
        <v>Atendimento e Relacionamento com Arquitetos e Urbanistas e a Sociedade</v>
      </c>
      <c r="E19" s="279">
        <f>'Quadro Geral'!J17</f>
        <v>130748.5</v>
      </c>
      <c r="F19" s="280"/>
      <c r="G19" s="281">
        <f>'Anexo 1.4-Atendimento'!I21</f>
        <v>96160.5</v>
      </c>
      <c r="H19" s="281"/>
      <c r="I19" s="281"/>
      <c r="J19" s="281"/>
      <c r="K19" s="281"/>
      <c r="L19" s="281">
        <f>'Anexo 1.4-Atendimento'!I22+'Anexo 1.4-Atendimento'!I23+'Anexo 1.4-Atendimento'!I24</f>
        <v>34588</v>
      </c>
      <c r="M19" s="281"/>
      <c r="N19" s="281"/>
      <c r="O19" s="281"/>
      <c r="P19" s="282">
        <f t="shared" si="0"/>
        <v>130748.5</v>
      </c>
      <c r="Q19" s="281"/>
      <c r="R19" s="282">
        <f t="shared" si="2"/>
        <v>130748.5</v>
      </c>
      <c r="S19" s="23">
        <f t="shared" si="1"/>
        <v>0</v>
      </c>
      <c r="T19" s="32" t="b">
        <f t="shared" si="3"/>
        <v>1</v>
      </c>
    </row>
    <row r="20" spans="1:20" s="14" customFormat="1" ht="54.75" customHeight="1" x14ac:dyDescent="0.3">
      <c r="A20" s="24" t="str">
        <f>'Quadro Geral'!A18</f>
        <v xml:space="preserve">Gerência Administrativa e Financeira </v>
      </c>
      <c r="B20" s="25" t="str">
        <f>'Quadro Geral'!B18</f>
        <v>A</v>
      </c>
      <c r="C20" s="26">
        <f>'Quadro Geral'!C18</f>
        <v>0</v>
      </c>
      <c r="D20" s="27" t="str">
        <f>'Quadro Geral'!D18</f>
        <v>Relacionamento e comunicação com a sociedade</v>
      </c>
      <c r="E20" s="279">
        <f>'Quadro Geral'!J18</f>
        <v>42813</v>
      </c>
      <c r="F20" s="280"/>
      <c r="G20" s="281"/>
      <c r="H20" s="281"/>
      <c r="I20" s="281"/>
      <c r="J20" s="281"/>
      <c r="K20" s="281"/>
      <c r="L20" s="281">
        <f>'Anexo 1.4-Comunicação'!I22+'Anexo 1.4-Comunicação'!I23</f>
        <v>42813</v>
      </c>
      <c r="M20" s="281"/>
      <c r="N20" s="281"/>
      <c r="O20" s="281"/>
      <c r="P20" s="282">
        <f t="shared" si="0"/>
        <v>42813</v>
      </c>
      <c r="Q20" s="281"/>
      <c r="R20" s="282">
        <f t="shared" si="2"/>
        <v>42813</v>
      </c>
      <c r="S20" s="23">
        <f t="shared" si="1"/>
        <v>0</v>
      </c>
      <c r="T20" s="32" t="b">
        <f t="shared" si="3"/>
        <v>1</v>
      </c>
    </row>
    <row r="21" spans="1:20" s="14" customFormat="1" ht="54.75" customHeight="1" x14ac:dyDescent="0.3">
      <c r="A21" s="24" t="str">
        <f>'Quadro Geral'!A19</f>
        <v xml:space="preserve">Gerência Administrativa e Financeira </v>
      </c>
      <c r="B21" s="25" t="str">
        <f>'Quadro Geral'!B19</f>
        <v>A</v>
      </c>
      <c r="C21" s="26">
        <f>'Quadro Geral'!C19</f>
        <v>0</v>
      </c>
      <c r="D21" s="27" t="str">
        <f>'Quadro Geral'!D19</f>
        <v>Capacitação de dirigentes e colaboradores</v>
      </c>
      <c r="E21" s="279">
        <f>'Quadro Geral'!J19</f>
        <v>21257.370000000003</v>
      </c>
      <c r="F21" s="280"/>
      <c r="G21" s="281"/>
      <c r="H21" s="281">
        <f>'Anexo 1.4-Capacitação'!I21</f>
        <v>10106.370000000001</v>
      </c>
      <c r="I21" s="281"/>
      <c r="J21" s="281"/>
      <c r="K21" s="281">
        <f>'Anexo 1.4-Capacitação'!I22</f>
        <v>8151</v>
      </c>
      <c r="L21" s="281">
        <f>'Anexo 1.4-Capacitação'!I23</f>
        <v>3000</v>
      </c>
      <c r="M21" s="281"/>
      <c r="N21" s="281"/>
      <c r="O21" s="281"/>
      <c r="P21" s="282">
        <f t="shared" si="0"/>
        <v>21257.370000000003</v>
      </c>
      <c r="Q21" s="281"/>
      <c r="R21" s="282">
        <f t="shared" si="2"/>
        <v>21257.370000000003</v>
      </c>
      <c r="S21" s="23">
        <f t="shared" si="1"/>
        <v>0</v>
      </c>
      <c r="T21" s="32" t="b">
        <f t="shared" si="3"/>
        <v>1</v>
      </c>
    </row>
    <row r="22" spans="1:20" s="14" customFormat="1" ht="54.75" customHeight="1" x14ac:dyDescent="0.3">
      <c r="A22" s="24" t="str">
        <f>'Quadro Geral'!A20</f>
        <v>Presidência</v>
      </c>
      <c r="B22" s="25" t="str">
        <f>'Quadro Geral'!B20</f>
        <v>A</v>
      </c>
      <c r="C22" s="26">
        <f>'Quadro Geral'!C20</f>
        <v>0</v>
      </c>
      <c r="D22" s="27" t="str">
        <f>'Quadro Geral'!D20</f>
        <v>Assistência Técnica em Habitações de Interesse Social – ATHIS</v>
      </c>
      <c r="E22" s="279">
        <f>'Quadro Geral'!J20</f>
        <v>22602</v>
      </c>
      <c r="F22" s="280"/>
      <c r="G22" s="281"/>
      <c r="H22" s="281"/>
      <c r="I22" s="281"/>
      <c r="J22" s="281"/>
      <c r="K22" s="281"/>
      <c r="L22" s="281">
        <f>'Anexo 1.4-ATHIS'!I22</f>
        <v>22602</v>
      </c>
      <c r="M22" s="281"/>
      <c r="N22" s="281"/>
      <c r="O22" s="281"/>
      <c r="P22" s="282">
        <f t="shared" si="0"/>
        <v>22602</v>
      </c>
      <c r="Q22" s="281"/>
      <c r="R22" s="282">
        <f t="shared" si="2"/>
        <v>22602</v>
      </c>
      <c r="S22" s="23">
        <f t="shared" si="1"/>
        <v>0</v>
      </c>
      <c r="T22" s="32" t="b">
        <f t="shared" si="3"/>
        <v>1</v>
      </c>
    </row>
    <row r="23" spans="1:20" s="14" customFormat="1" ht="54.75" customHeight="1" x14ac:dyDescent="0.3">
      <c r="A23" s="24" t="str">
        <f>'Quadro Geral'!A21</f>
        <v xml:space="preserve">Gerência Administrativa e Financeira </v>
      </c>
      <c r="B23" s="25" t="str">
        <f>'Quadro Geral'!B21</f>
        <v>A</v>
      </c>
      <c r="C23" s="26">
        <f>'Quadro Geral'!C21</f>
        <v>0</v>
      </c>
      <c r="D23" s="27" t="str">
        <f>'Quadro Geral'!D21</f>
        <v>Contribuição ao Fundo de Apoio aos CAUs Básicos</v>
      </c>
      <c r="E23" s="279">
        <f>'Quadro Geral'!J21</f>
        <v>14751</v>
      </c>
      <c r="F23" s="280"/>
      <c r="G23" s="281"/>
      <c r="H23" s="281"/>
      <c r="I23" s="281"/>
      <c r="J23" s="281"/>
      <c r="K23" s="281"/>
      <c r="L23" s="281"/>
      <c r="M23" s="281">
        <f>'Anexo 1.4-Fundo'!I22</f>
        <v>14751</v>
      </c>
      <c r="N23" s="281"/>
      <c r="O23" s="281"/>
      <c r="P23" s="282">
        <f t="shared" si="0"/>
        <v>14751</v>
      </c>
      <c r="Q23" s="281"/>
      <c r="R23" s="282">
        <f t="shared" si="2"/>
        <v>14751</v>
      </c>
      <c r="S23" s="23">
        <f t="shared" si="1"/>
        <v>0</v>
      </c>
      <c r="T23" s="32" t="b">
        <f t="shared" si="3"/>
        <v>1</v>
      </c>
    </row>
    <row r="24" spans="1:20" s="14" customFormat="1" ht="54.75" customHeight="1" x14ac:dyDescent="0.3">
      <c r="A24" s="24" t="str">
        <f>'Quadro Geral'!A22</f>
        <v xml:space="preserve">Gerência Administrativa e Financeira </v>
      </c>
      <c r="B24" s="25" t="str">
        <f>'Quadro Geral'!B22</f>
        <v>A</v>
      </c>
      <c r="C24" s="26" t="str">
        <f>'Quadro Geral'!C22</f>
        <v>X</v>
      </c>
      <c r="D24" s="27" t="str">
        <f>'Quadro Geral'!D22</f>
        <v>Contribuição ao CSC - Fiscalização</v>
      </c>
      <c r="E24" s="279">
        <f>'Quadro Geral'!J22</f>
        <v>33303.14</v>
      </c>
      <c r="F24" s="280"/>
      <c r="G24" s="281"/>
      <c r="H24" s="281"/>
      <c r="I24" s="281"/>
      <c r="J24" s="281"/>
      <c r="K24" s="281"/>
      <c r="L24" s="281"/>
      <c r="M24" s="281">
        <f>'Anexo 1.4-CSC Fiscalização'!I22</f>
        <v>33303.14</v>
      </c>
      <c r="N24" s="281"/>
      <c r="O24" s="281"/>
      <c r="P24" s="282">
        <f t="shared" si="0"/>
        <v>33303.14</v>
      </c>
      <c r="Q24" s="281"/>
      <c r="R24" s="282">
        <f t="shared" si="2"/>
        <v>33303.14</v>
      </c>
      <c r="S24" s="23">
        <f t="shared" si="1"/>
        <v>0</v>
      </c>
      <c r="T24" s="32" t="b">
        <f t="shared" si="3"/>
        <v>1</v>
      </c>
    </row>
    <row r="25" spans="1:20" s="14" customFormat="1" ht="54.75" customHeight="1" x14ac:dyDescent="0.3">
      <c r="A25" s="24" t="str">
        <f>'Quadro Geral'!A23</f>
        <v xml:space="preserve">Gerência Administrativa e Financeira </v>
      </c>
      <c r="B25" s="25" t="str">
        <f>'Quadro Geral'!B23</f>
        <v>A</v>
      </c>
      <c r="C25" s="26" t="str">
        <f>'Quadro Geral'!C23</f>
        <v>X</v>
      </c>
      <c r="D25" s="27" t="str">
        <f>'Quadro Geral'!D23</f>
        <v>Contribuição ao CSC - Atendimento</v>
      </c>
      <c r="E25" s="279">
        <f>'Quadro Geral'!J23</f>
        <v>6580.86</v>
      </c>
      <c r="F25" s="280"/>
      <c r="G25" s="281"/>
      <c r="H25" s="281"/>
      <c r="I25" s="281"/>
      <c r="J25" s="281"/>
      <c r="K25" s="281"/>
      <c r="L25" s="281"/>
      <c r="M25" s="281">
        <f>'Anexo 1.4-CSC Atendimento'!I22</f>
        <v>6580.86</v>
      </c>
      <c r="N25" s="281"/>
      <c r="O25" s="281"/>
      <c r="P25" s="282">
        <f t="shared" si="0"/>
        <v>6580.86</v>
      </c>
      <c r="Q25" s="281"/>
      <c r="R25" s="282">
        <f t="shared" si="2"/>
        <v>6580.86</v>
      </c>
      <c r="S25" s="23">
        <f t="shared" si="1"/>
        <v>0</v>
      </c>
      <c r="T25" s="32" t="b">
        <f t="shared" si="3"/>
        <v>1</v>
      </c>
    </row>
    <row r="26" spans="1:20" s="14" customFormat="1" ht="54.75" customHeight="1" x14ac:dyDescent="0.3">
      <c r="A26" s="24" t="str">
        <f>'Quadro Geral'!A24</f>
        <v xml:space="preserve">Gerência Administrativa e Financeira </v>
      </c>
      <c r="B26" s="25" t="str">
        <f>'Quadro Geral'!B24</f>
        <v>A</v>
      </c>
      <c r="C26" s="26">
        <f>'Quadro Geral'!C24</f>
        <v>0</v>
      </c>
      <c r="D26" s="27" t="str">
        <f>'Quadro Geral'!D24</f>
        <v>Contribuição ao CSC  - SISCAF</v>
      </c>
      <c r="E26" s="279">
        <f>'Quadro Geral'!J24</f>
        <v>4772</v>
      </c>
      <c r="F26" s="280"/>
      <c r="G26" s="281"/>
      <c r="H26" s="281"/>
      <c r="I26" s="281"/>
      <c r="J26" s="281"/>
      <c r="K26" s="281"/>
      <c r="L26" s="281"/>
      <c r="M26" s="281">
        <f>'Anexo 1.4-CSC Siscaf'!I22</f>
        <v>4772</v>
      </c>
      <c r="N26" s="281"/>
      <c r="O26" s="281"/>
      <c r="P26" s="282">
        <f t="shared" si="0"/>
        <v>4772</v>
      </c>
      <c r="Q26" s="281"/>
      <c r="R26" s="282">
        <f t="shared" si="2"/>
        <v>4772</v>
      </c>
      <c r="S26" s="23">
        <f t="shared" si="1"/>
        <v>0</v>
      </c>
      <c r="T26" s="32" t="b">
        <f t="shared" si="3"/>
        <v>1</v>
      </c>
    </row>
    <row r="27" spans="1:20" s="14" customFormat="1" ht="54.75" customHeight="1" x14ac:dyDescent="0.3">
      <c r="A27" s="24" t="str">
        <f>'Quadro Geral'!A25</f>
        <v>Presidência</v>
      </c>
      <c r="B27" s="25" t="str">
        <f>'Quadro Geral'!B25</f>
        <v>P</v>
      </c>
      <c r="C27" s="26">
        <f>'Quadro Geral'!C25</f>
        <v>0</v>
      </c>
      <c r="D27" s="27" t="str">
        <f>'Quadro Geral'!D25</f>
        <v>Implantação da sede própria do CAU/TO</v>
      </c>
      <c r="E27" s="279">
        <f>'Quadro Geral'!J25</f>
        <v>792000</v>
      </c>
      <c r="F27" s="280"/>
      <c r="G27" s="281"/>
      <c r="H27" s="281"/>
      <c r="I27" s="281"/>
      <c r="J27" s="281"/>
      <c r="K27" s="281"/>
      <c r="L27" s="281"/>
      <c r="M27" s="281"/>
      <c r="N27" s="281"/>
      <c r="O27" s="281"/>
      <c r="P27" s="282">
        <f t="shared" si="0"/>
        <v>0</v>
      </c>
      <c r="Q27" s="281">
        <f>'Anexo 1.4-Sede'!I22</f>
        <v>792000</v>
      </c>
      <c r="R27" s="282">
        <f t="shared" si="2"/>
        <v>792000</v>
      </c>
      <c r="S27" s="23">
        <f t="shared" si="1"/>
        <v>0</v>
      </c>
      <c r="T27" s="32" t="b">
        <f t="shared" si="3"/>
        <v>1</v>
      </c>
    </row>
    <row r="28" spans="1:20" s="14" customFormat="1" ht="54.75" customHeight="1" x14ac:dyDescent="0.3">
      <c r="A28" s="24" t="str">
        <f>'Quadro Geral'!A26</f>
        <v>Gerencia Técnica e de Fiscalização</v>
      </c>
      <c r="B28" s="25" t="str">
        <f>'Quadro Geral'!B26</f>
        <v>P</v>
      </c>
      <c r="C28" s="26">
        <f>'Quadro Geral'!C26</f>
        <v>0</v>
      </c>
      <c r="D28" s="27" t="str">
        <f>'Quadro Geral'!D26</f>
        <v>Manter as atividade da comissão eleitoral</v>
      </c>
      <c r="E28" s="279">
        <f>'Quadro Geral'!J26</f>
        <v>4000</v>
      </c>
      <c r="F28" s="280"/>
      <c r="G28" s="281"/>
      <c r="H28" s="281"/>
      <c r="I28" s="281"/>
      <c r="J28" s="281"/>
      <c r="K28" s="281"/>
      <c r="L28" s="281">
        <f>'Anexo 1.4-Comissão Eleitoral'!I22</f>
        <v>4000</v>
      </c>
      <c r="M28" s="281"/>
      <c r="N28" s="281"/>
      <c r="O28" s="281"/>
      <c r="P28" s="282">
        <f t="shared" si="0"/>
        <v>4000</v>
      </c>
      <c r="Q28" s="281"/>
      <c r="R28" s="282">
        <f t="shared" si="2"/>
        <v>4000</v>
      </c>
      <c r="S28" s="23">
        <f t="shared" si="1"/>
        <v>0</v>
      </c>
      <c r="T28" s="32" t="b">
        <f t="shared" si="3"/>
        <v>1</v>
      </c>
    </row>
    <row r="29" spans="1:20" s="14" customFormat="1" ht="54.75" customHeight="1" x14ac:dyDescent="0.3">
      <c r="A29" s="24" t="str">
        <f>'Quadro Geral'!A27</f>
        <v xml:space="preserve">Gerência Administrativa e Financeira </v>
      </c>
      <c r="B29" s="25" t="str">
        <f>'Quadro Geral'!B27</f>
        <v>A</v>
      </c>
      <c r="C29" s="26">
        <f>'Quadro Geral'!C27</f>
        <v>0</v>
      </c>
      <c r="D29" s="27" t="str">
        <f>'Quadro Geral'!D27</f>
        <v>Reserva de Contingência</v>
      </c>
      <c r="E29" s="279">
        <f>'Quadro Geral'!J27</f>
        <v>10000</v>
      </c>
      <c r="F29" s="280"/>
      <c r="G29" s="281"/>
      <c r="H29" s="281"/>
      <c r="I29" s="281"/>
      <c r="J29" s="281"/>
      <c r="K29" s="281"/>
      <c r="L29" s="281"/>
      <c r="M29" s="281"/>
      <c r="N29" s="281">
        <f>'Anexo 1.4-Reserva Contingência'!I22</f>
        <v>10000</v>
      </c>
      <c r="O29" s="281"/>
      <c r="P29" s="282">
        <f t="shared" si="0"/>
        <v>10000</v>
      </c>
      <c r="Q29" s="281"/>
      <c r="R29" s="282">
        <f t="shared" si="2"/>
        <v>10000</v>
      </c>
      <c r="S29" s="23">
        <f t="shared" ref="S29" si="4">IFERROR(R29/$R$49*100,0)</f>
        <v>0</v>
      </c>
      <c r="T29" s="32" t="b">
        <f t="shared" si="3"/>
        <v>1</v>
      </c>
    </row>
    <row r="30" spans="1:20" s="14" customFormat="1" ht="23.25" hidden="1" customHeight="1" x14ac:dyDescent="0.3">
      <c r="A30" s="24" t="e">
        <f>'Quadro Geral'!#REF!</f>
        <v>#REF!</v>
      </c>
      <c r="B30" s="25" t="e">
        <f>'Quadro Geral'!#REF!</f>
        <v>#REF!</v>
      </c>
      <c r="C30" s="26" t="e">
        <f>'Quadro Geral'!#REF!</f>
        <v>#REF!</v>
      </c>
      <c r="D30" s="27" t="e">
        <f>'Quadro Geral'!#REF!</f>
        <v>#REF!</v>
      </c>
      <c r="E30" s="279" t="e">
        <f>'Quadro Geral'!#REF!</f>
        <v>#REF!</v>
      </c>
      <c r="F30" s="280"/>
      <c r="G30" s="281"/>
      <c r="H30" s="281"/>
      <c r="I30" s="281"/>
      <c r="J30" s="281"/>
      <c r="K30" s="281"/>
      <c r="L30" s="281"/>
      <c r="M30" s="281"/>
      <c r="N30" s="281"/>
      <c r="O30" s="281"/>
      <c r="P30" s="282">
        <f t="shared" si="0"/>
        <v>0</v>
      </c>
      <c r="Q30" s="281"/>
      <c r="R30" s="282">
        <f t="shared" ref="R30:R48" si="5">P30+Q30</f>
        <v>0</v>
      </c>
      <c r="S30" s="23">
        <f t="shared" ref="S30:S45" si="6">IFERROR(R30/$R$49*100,0)</f>
        <v>0</v>
      </c>
      <c r="T30" s="32" t="e">
        <f t="shared" si="3"/>
        <v>#REF!</v>
      </c>
    </row>
    <row r="31" spans="1:20" s="14" customFormat="1" ht="23.25" hidden="1" customHeight="1" x14ac:dyDescent="0.3">
      <c r="A31" s="24" t="e">
        <f>'Quadro Geral'!#REF!</f>
        <v>#REF!</v>
      </c>
      <c r="B31" s="25" t="e">
        <f>'Quadro Geral'!#REF!</f>
        <v>#REF!</v>
      </c>
      <c r="C31" s="26" t="e">
        <f>'Quadro Geral'!#REF!</f>
        <v>#REF!</v>
      </c>
      <c r="D31" s="27" t="e">
        <f>'Quadro Geral'!#REF!</f>
        <v>#REF!</v>
      </c>
      <c r="E31" s="279" t="e">
        <f>'Quadro Geral'!#REF!</f>
        <v>#REF!</v>
      </c>
      <c r="F31" s="280"/>
      <c r="G31" s="281"/>
      <c r="H31" s="281"/>
      <c r="I31" s="281"/>
      <c r="J31" s="281"/>
      <c r="K31" s="281"/>
      <c r="L31" s="281"/>
      <c r="M31" s="281"/>
      <c r="N31" s="281"/>
      <c r="O31" s="281"/>
      <c r="P31" s="282">
        <f t="shared" si="0"/>
        <v>0</v>
      </c>
      <c r="Q31" s="281"/>
      <c r="R31" s="282">
        <f t="shared" si="5"/>
        <v>0</v>
      </c>
      <c r="S31" s="23">
        <f t="shared" si="6"/>
        <v>0</v>
      </c>
      <c r="T31" s="32" t="e">
        <f t="shared" si="3"/>
        <v>#REF!</v>
      </c>
    </row>
    <row r="32" spans="1:20" s="14" customFormat="1" ht="23.25" hidden="1" customHeight="1" x14ac:dyDescent="0.3">
      <c r="A32" s="24" t="e">
        <f>'Quadro Geral'!#REF!</f>
        <v>#REF!</v>
      </c>
      <c r="B32" s="25" t="e">
        <f>'Quadro Geral'!#REF!</f>
        <v>#REF!</v>
      </c>
      <c r="C32" s="26" t="e">
        <f>'Quadro Geral'!#REF!</f>
        <v>#REF!</v>
      </c>
      <c r="D32" s="27" t="e">
        <f>'Quadro Geral'!#REF!</f>
        <v>#REF!</v>
      </c>
      <c r="E32" s="279" t="e">
        <f>'Quadro Geral'!#REF!</f>
        <v>#REF!</v>
      </c>
      <c r="F32" s="280"/>
      <c r="G32" s="281"/>
      <c r="H32" s="281"/>
      <c r="I32" s="281"/>
      <c r="J32" s="281"/>
      <c r="K32" s="281"/>
      <c r="L32" s="281"/>
      <c r="M32" s="281"/>
      <c r="N32" s="281"/>
      <c r="O32" s="281"/>
      <c r="P32" s="282">
        <f t="shared" si="0"/>
        <v>0</v>
      </c>
      <c r="Q32" s="281"/>
      <c r="R32" s="282">
        <f t="shared" si="5"/>
        <v>0</v>
      </c>
      <c r="S32" s="23">
        <f t="shared" si="6"/>
        <v>0</v>
      </c>
      <c r="T32" s="32" t="e">
        <f t="shared" si="3"/>
        <v>#REF!</v>
      </c>
    </row>
    <row r="33" spans="1:20" s="14" customFormat="1" ht="23.25" hidden="1" customHeight="1" x14ac:dyDescent="0.3">
      <c r="A33" s="24" t="e">
        <f>'Quadro Geral'!#REF!</f>
        <v>#REF!</v>
      </c>
      <c r="B33" s="25" t="e">
        <f>'Quadro Geral'!#REF!</f>
        <v>#REF!</v>
      </c>
      <c r="C33" s="26" t="e">
        <f>'Quadro Geral'!#REF!</f>
        <v>#REF!</v>
      </c>
      <c r="D33" s="27" t="e">
        <f>'Quadro Geral'!#REF!</f>
        <v>#REF!</v>
      </c>
      <c r="E33" s="279" t="e">
        <f>'Quadro Geral'!#REF!</f>
        <v>#REF!</v>
      </c>
      <c r="F33" s="280"/>
      <c r="G33" s="281"/>
      <c r="H33" s="281"/>
      <c r="I33" s="281"/>
      <c r="J33" s="281"/>
      <c r="K33" s="281"/>
      <c r="L33" s="281"/>
      <c r="M33" s="281"/>
      <c r="N33" s="281"/>
      <c r="O33" s="281"/>
      <c r="P33" s="282">
        <f t="shared" si="0"/>
        <v>0</v>
      </c>
      <c r="Q33" s="281"/>
      <c r="R33" s="282">
        <f t="shared" si="5"/>
        <v>0</v>
      </c>
      <c r="S33" s="23">
        <f t="shared" si="6"/>
        <v>0</v>
      </c>
      <c r="T33" s="32" t="e">
        <f t="shared" si="3"/>
        <v>#REF!</v>
      </c>
    </row>
    <row r="34" spans="1:20" s="14" customFormat="1" ht="23.25" hidden="1" customHeight="1" x14ac:dyDescent="0.3">
      <c r="A34" s="24" t="e">
        <f>'Quadro Geral'!#REF!</f>
        <v>#REF!</v>
      </c>
      <c r="B34" s="25" t="e">
        <f>'Quadro Geral'!#REF!</f>
        <v>#REF!</v>
      </c>
      <c r="C34" s="26" t="e">
        <f>'Quadro Geral'!#REF!</f>
        <v>#REF!</v>
      </c>
      <c r="D34" s="27" t="e">
        <f>'Quadro Geral'!#REF!</f>
        <v>#REF!</v>
      </c>
      <c r="E34" s="279" t="e">
        <f>'Quadro Geral'!#REF!</f>
        <v>#REF!</v>
      </c>
      <c r="F34" s="280"/>
      <c r="G34" s="281"/>
      <c r="H34" s="281"/>
      <c r="I34" s="281"/>
      <c r="J34" s="281"/>
      <c r="K34" s="281"/>
      <c r="L34" s="281"/>
      <c r="M34" s="281"/>
      <c r="N34" s="281"/>
      <c r="O34" s="281"/>
      <c r="P34" s="282">
        <f t="shared" si="0"/>
        <v>0</v>
      </c>
      <c r="Q34" s="281"/>
      <c r="R34" s="282">
        <f t="shared" si="5"/>
        <v>0</v>
      </c>
      <c r="S34" s="23">
        <f t="shared" si="6"/>
        <v>0</v>
      </c>
      <c r="T34" s="32" t="e">
        <f t="shared" si="3"/>
        <v>#REF!</v>
      </c>
    </row>
    <row r="35" spans="1:20" s="14" customFormat="1" ht="23.25" hidden="1" customHeight="1" x14ac:dyDescent="0.3">
      <c r="A35" s="24" t="e">
        <f>'Quadro Geral'!#REF!</f>
        <v>#REF!</v>
      </c>
      <c r="B35" s="25" t="e">
        <f>'Quadro Geral'!#REF!</f>
        <v>#REF!</v>
      </c>
      <c r="C35" s="26" t="e">
        <f>'Quadro Geral'!#REF!</f>
        <v>#REF!</v>
      </c>
      <c r="D35" s="27" t="e">
        <f>'Quadro Geral'!#REF!</f>
        <v>#REF!</v>
      </c>
      <c r="E35" s="279" t="e">
        <f>'Quadro Geral'!#REF!</f>
        <v>#REF!</v>
      </c>
      <c r="F35" s="280"/>
      <c r="G35" s="281"/>
      <c r="H35" s="281"/>
      <c r="I35" s="281"/>
      <c r="J35" s="281"/>
      <c r="K35" s="281"/>
      <c r="L35" s="281"/>
      <c r="M35" s="281"/>
      <c r="N35" s="281"/>
      <c r="O35" s="281"/>
      <c r="P35" s="282">
        <f t="shared" si="0"/>
        <v>0</v>
      </c>
      <c r="Q35" s="281"/>
      <c r="R35" s="282">
        <f t="shared" si="5"/>
        <v>0</v>
      </c>
      <c r="S35" s="23">
        <f t="shared" si="6"/>
        <v>0</v>
      </c>
      <c r="T35" s="32" t="e">
        <f t="shared" si="3"/>
        <v>#REF!</v>
      </c>
    </row>
    <row r="36" spans="1:20" s="14" customFormat="1" ht="23.25" hidden="1" customHeight="1" x14ac:dyDescent="0.3">
      <c r="A36" s="24" t="e">
        <f>'Quadro Geral'!#REF!</f>
        <v>#REF!</v>
      </c>
      <c r="B36" s="25" t="e">
        <f>'Quadro Geral'!#REF!</f>
        <v>#REF!</v>
      </c>
      <c r="C36" s="26" t="e">
        <f>'Quadro Geral'!#REF!</f>
        <v>#REF!</v>
      </c>
      <c r="D36" s="27" t="e">
        <f>'Quadro Geral'!#REF!</f>
        <v>#REF!</v>
      </c>
      <c r="E36" s="279" t="e">
        <f>'Quadro Geral'!#REF!</f>
        <v>#REF!</v>
      </c>
      <c r="F36" s="280"/>
      <c r="G36" s="281"/>
      <c r="H36" s="281"/>
      <c r="I36" s="281"/>
      <c r="J36" s="281"/>
      <c r="K36" s="281"/>
      <c r="L36" s="281"/>
      <c r="M36" s="281"/>
      <c r="N36" s="281"/>
      <c r="O36" s="281"/>
      <c r="P36" s="282">
        <f t="shared" si="0"/>
        <v>0</v>
      </c>
      <c r="Q36" s="281"/>
      <c r="R36" s="282">
        <f t="shared" si="5"/>
        <v>0</v>
      </c>
      <c r="S36" s="23">
        <f t="shared" si="6"/>
        <v>0</v>
      </c>
      <c r="T36" s="32" t="e">
        <f t="shared" si="3"/>
        <v>#REF!</v>
      </c>
    </row>
    <row r="37" spans="1:20" s="14" customFormat="1" ht="23.25" hidden="1" customHeight="1" x14ac:dyDescent="0.3">
      <c r="A37" s="24" t="e">
        <f>'Quadro Geral'!#REF!</f>
        <v>#REF!</v>
      </c>
      <c r="B37" s="25" t="e">
        <f>'Quadro Geral'!#REF!</f>
        <v>#REF!</v>
      </c>
      <c r="C37" s="26" t="e">
        <f>'Quadro Geral'!#REF!</f>
        <v>#REF!</v>
      </c>
      <c r="D37" s="27" t="e">
        <f>'Quadro Geral'!#REF!</f>
        <v>#REF!</v>
      </c>
      <c r="E37" s="279" t="e">
        <f>'Quadro Geral'!#REF!</f>
        <v>#REF!</v>
      </c>
      <c r="F37" s="280"/>
      <c r="G37" s="281"/>
      <c r="H37" s="281"/>
      <c r="I37" s="281"/>
      <c r="J37" s="281"/>
      <c r="K37" s="281"/>
      <c r="L37" s="281"/>
      <c r="M37" s="281"/>
      <c r="N37" s="281"/>
      <c r="O37" s="281"/>
      <c r="P37" s="282">
        <f t="shared" si="0"/>
        <v>0</v>
      </c>
      <c r="Q37" s="281"/>
      <c r="R37" s="282">
        <f t="shared" si="5"/>
        <v>0</v>
      </c>
      <c r="S37" s="23">
        <f t="shared" si="6"/>
        <v>0</v>
      </c>
      <c r="T37" s="32" t="e">
        <f t="shared" si="3"/>
        <v>#REF!</v>
      </c>
    </row>
    <row r="38" spans="1:20" s="14" customFormat="1" ht="23.25" hidden="1" customHeight="1" x14ac:dyDescent="0.3">
      <c r="A38" s="24" t="e">
        <f>'Quadro Geral'!#REF!</f>
        <v>#REF!</v>
      </c>
      <c r="B38" s="25" t="e">
        <f>'Quadro Geral'!#REF!</f>
        <v>#REF!</v>
      </c>
      <c r="C38" s="26" t="e">
        <f>'Quadro Geral'!#REF!</f>
        <v>#REF!</v>
      </c>
      <c r="D38" s="27" t="e">
        <f>'Quadro Geral'!#REF!</f>
        <v>#REF!</v>
      </c>
      <c r="E38" s="279" t="e">
        <f>'Quadro Geral'!#REF!</f>
        <v>#REF!</v>
      </c>
      <c r="F38" s="280"/>
      <c r="G38" s="281"/>
      <c r="H38" s="281"/>
      <c r="I38" s="281"/>
      <c r="J38" s="281"/>
      <c r="K38" s="281"/>
      <c r="L38" s="281"/>
      <c r="M38" s="281"/>
      <c r="N38" s="281"/>
      <c r="O38" s="281"/>
      <c r="P38" s="282">
        <f t="shared" si="0"/>
        <v>0</v>
      </c>
      <c r="Q38" s="281"/>
      <c r="R38" s="282">
        <f t="shared" si="5"/>
        <v>0</v>
      </c>
      <c r="S38" s="23">
        <f t="shared" si="6"/>
        <v>0</v>
      </c>
      <c r="T38" s="32" t="e">
        <f t="shared" si="3"/>
        <v>#REF!</v>
      </c>
    </row>
    <row r="39" spans="1:20" s="14" customFormat="1" ht="23.25" hidden="1" customHeight="1" x14ac:dyDescent="0.3">
      <c r="A39" s="24" t="e">
        <f>'Quadro Geral'!#REF!</f>
        <v>#REF!</v>
      </c>
      <c r="B39" s="25" t="e">
        <f>'Quadro Geral'!#REF!</f>
        <v>#REF!</v>
      </c>
      <c r="C39" s="26" t="e">
        <f>'Quadro Geral'!#REF!</f>
        <v>#REF!</v>
      </c>
      <c r="D39" s="27" t="e">
        <f>'Quadro Geral'!#REF!</f>
        <v>#REF!</v>
      </c>
      <c r="E39" s="279" t="e">
        <f>'Quadro Geral'!#REF!</f>
        <v>#REF!</v>
      </c>
      <c r="F39" s="280"/>
      <c r="G39" s="281"/>
      <c r="H39" s="281"/>
      <c r="I39" s="281"/>
      <c r="J39" s="281"/>
      <c r="K39" s="281"/>
      <c r="L39" s="281"/>
      <c r="M39" s="281"/>
      <c r="N39" s="281"/>
      <c r="O39" s="281"/>
      <c r="P39" s="282">
        <f t="shared" si="0"/>
        <v>0</v>
      </c>
      <c r="Q39" s="281"/>
      <c r="R39" s="282">
        <f t="shared" si="5"/>
        <v>0</v>
      </c>
      <c r="S39" s="23">
        <f t="shared" si="6"/>
        <v>0</v>
      </c>
      <c r="T39" s="32" t="e">
        <f t="shared" si="3"/>
        <v>#REF!</v>
      </c>
    </row>
    <row r="40" spans="1:20" s="14" customFormat="1" ht="23.25" hidden="1" customHeight="1" x14ac:dyDescent="0.3">
      <c r="A40" s="24" t="e">
        <f>'Quadro Geral'!#REF!</f>
        <v>#REF!</v>
      </c>
      <c r="B40" s="25" t="e">
        <f>'Quadro Geral'!#REF!</f>
        <v>#REF!</v>
      </c>
      <c r="C40" s="26" t="e">
        <f>'Quadro Geral'!#REF!</f>
        <v>#REF!</v>
      </c>
      <c r="D40" s="27" t="e">
        <f>'Quadro Geral'!#REF!</f>
        <v>#REF!</v>
      </c>
      <c r="E40" s="279" t="e">
        <f>'Quadro Geral'!#REF!</f>
        <v>#REF!</v>
      </c>
      <c r="F40" s="280"/>
      <c r="G40" s="281"/>
      <c r="H40" s="281"/>
      <c r="I40" s="281"/>
      <c r="J40" s="281"/>
      <c r="K40" s="281"/>
      <c r="L40" s="281"/>
      <c r="M40" s="281"/>
      <c r="N40" s="281"/>
      <c r="O40" s="281"/>
      <c r="P40" s="282">
        <f t="shared" si="0"/>
        <v>0</v>
      </c>
      <c r="Q40" s="281"/>
      <c r="R40" s="282">
        <f t="shared" si="5"/>
        <v>0</v>
      </c>
      <c r="S40" s="23">
        <f t="shared" si="6"/>
        <v>0</v>
      </c>
      <c r="T40" s="32" t="e">
        <f t="shared" si="3"/>
        <v>#REF!</v>
      </c>
    </row>
    <row r="41" spans="1:20" s="14" customFormat="1" ht="23.25" hidden="1" customHeight="1" x14ac:dyDescent="0.3">
      <c r="A41" s="24" t="e">
        <f>'Quadro Geral'!#REF!</f>
        <v>#REF!</v>
      </c>
      <c r="B41" s="25" t="e">
        <f>'Quadro Geral'!#REF!</f>
        <v>#REF!</v>
      </c>
      <c r="C41" s="26" t="e">
        <f>'Quadro Geral'!#REF!</f>
        <v>#REF!</v>
      </c>
      <c r="D41" s="27" t="e">
        <f>'Quadro Geral'!#REF!</f>
        <v>#REF!</v>
      </c>
      <c r="E41" s="279" t="e">
        <f>'Quadro Geral'!#REF!</f>
        <v>#REF!</v>
      </c>
      <c r="F41" s="280"/>
      <c r="G41" s="281"/>
      <c r="H41" s="281"/>
      <c r="I41" s="281"/>
      <c r="J41" s="281"/>
      <c r="K41" s="281"/>
      <c r="L41" s="281"/>
      <c r="M41" s="281"/>
      <c r="N41" s="281"/>
      <c r="O41" s="281"/>
      <c r="P41" s="282">
        <f t="shared" si="0"/>
        <v>0</v>
      </c>
      <c r="Q41" s="281"/>
      <c r="R41" s="282">
        <f t="shared" si="5"/>
        <v>0</v>
      </c>
      <c r="S41" s="23">
        <f t="shared" si="6"/>
        <v>0</v>
      </c>
      <c r="T41" s="32" t="e">
        <f t="shared" si="3"/>
        <v>#REF!</v>
      </c>
    </row>
    <row r="42" spans="1:20" s="14" customFormat="1" ht="23.25" hidden="1" customHeight="1" x14ac:dyDescent="0.3">
      <c r="A42" s="24" t="e">
        <f>'Quadro Geral'!#REF!</f>
        <v>#REF!</v>
      </c>
      <c r="B42" s="25" t="e">
        <f>'Quadro Geral'!#REF!</f>
        <v>#REF!</v>
      </c>
      <c r="C42" s="26" t="e">
        <f>'Quadro Geral'!#REF!</f>
        <v>#REF!</v>
      </c>
      <c r="D42" s="27" t="e">
        <f>'Quadro Geral'!#REF!</f>
        <v>#REF!</v>
      </c>
      <c r="E42" s="279" t="e">
        <f>'Quadro Geral'!#REF!</f>
        <v>#REF!</v>
      </c>
      <c r="F42" s="280"/>
      <c r="G42" s="281"/>
      <c r="H42" s="281"/>
      <c r="I42" s="281"/>
      <c r="J42" s="281"/>
      <c r="K42" s="281"/>
      <c r="L42" s="281"/>
      <c r="M42" s="281"/>
      <c r="N42" s="281"/>
      <c r="O42" s="281"/>
      <c r="P42" s="282">
        <f t="shared" si="0"/>
        <v>0</v>
      </c>
      <c r="Q42" s="281"/>
      <c r="R42" s="282">
        <f t="shared" si="5"/>
        <v>0</v>
      </c>
      <c r="S42" s="23">
        <f t="shared" si="6"/>
        <v>0</v>
      </c>
      <c r="T42" s="32" t="e">
        <f t="shared" si="3"/>
        <v>#REF!</v>
      </c>
    </row>
    <row r="43" spans="1:20" s="14" customFormat="1" ht="23.25" hidden="1" customHeight="1" x14ac:dyDescent="0.3">
      <c r="A43" s="24" t="e">
        <f>'Quadro Geral'!#REF!</f>
        <v>#REF!</v>
      </c>
      <c r="B43" s="25" t="e">
        <f>'Quadro Geral'!#REF!</f>
        <v>#REF!</v>
      </c>
      <c r="C43" s="26" t="e">
        <f>'Quadro Geral'!#REF!</f>
        <v>#REF!</v>
      </c>
      <c r="D43" s="27" t="e">
        <f>'Quadro Geral'!#REF!</f>
        <v>#REF!</v>
      </c>
      <c r="E43" s="279" t="e">
        <f>'Quadro Geral'!#REF!</f>
        <v>#REF!</v>
      </c>
      <c r="F43" s="280"/>
      <c r="G43" s="281"/>
      <c r="H43" s="281"/>
      <c r="I43" s="281"/>
      <c r="J43" s="281"/>
      <c r="K43" s="281"/>
      <c r="L43" s="281"/>
      <c r="M43" s="281"/>
      <c r="N43" s="281"/>
      <c r="O43" s="281"/>
      <c r="P43" s="282">
        <f t="shared" si="0"/>
        <v>0</v>
      </c>
      <c r="Q43" s="281"/>
      <c r="R43" s="282">
        <f t="shared" si="5"/>
        <v>0</v>
      </c>
      <c r="S43" s="23">
        <f t="shared" si="6"/>
        <v>0</v>
      </c>
      <c r="T43" s="32" t="e">
        <f t="shared" si="3"/>
        <v>#REF!</v>
      </c>
    </row>
    <row r="44" spans="1:20" s="14" customFormat="1" ht="23.25" hidden="1" customHeight="1" x14ac:dyDescent="0.3">
      <c r="A44" s="24" t="e">
        <f>'Quadro Geral'!#REF!</f>
        <v>#REF!</v>
      </c>
      <c r="B44" s="25" t="e">
        <f>'Quadro Geral'!#REF!</f>
        <v>#REF!</v>
      </c>
      <c r="C44" s="26" t="e">
        <f>'Quadro Geral'!#REF!</f>
        <v>#REF!</v>
      </c>
      <c r="D44" s="27" t="e">
        <f>'Quadro Geral'!#REF!</f>
        <v>#REF!</v>
      </c>
      <c r="E44" s="279" t="e">
        <f>'Quadro Geral'!#REF!</f>
        <v>#REF!</v>
      </c>
      <c r="F44" s="280"/>
      <c r="G44" s="281"/>
      <c r="H44" s="281"/>
      <c r="I44" s="281"/>
      <c r="J44" s="281"/>
      <c r="K44" s="281"/>
      <c r="L44" s="281"/>
      <c r="M44" s="281"/>
      <c r="N44" s="281"/>
      <c r="O44" s="281"/>
      <c r="P44" s="282">
        <f t="shared" si="0"/>
        <v>0</v>
      </c>
      <c r="Q44" s="281"/>
      <c r="R44" s="282">
        <f t="shared" si="5"/>
        <v>0</v>
      </c>
      <c r="S44" s="23">
        <f t="shared" si="6"/>
        <v>0</v>
      </c>
      <c r="T44" s="32" t="e">
        <f t="shared" si="3"/>
        <v>#REF!</v>
      </c>
    </row>
    <row r="45" spans="1:20" s="14" customFormat="1" ht="23.25" hidden="1" customHeight="1" x14ac:dyDescent="0.3">
      <c r="A45" s="24" t="e">
        <f>'Quadro Geral'!#REF!</f>
        <v>#REF!</v>
      </c>
      <c r="B45" s="25" t="e">
        <f>'Quadro Geral'!#REF!</f>
        <v>#REF!</v>
      </c>
      <c r="C45" s="26" t="e">
        <f>'Quadro Geral'!#REF!</f>
        <v>#REF!</v>
      </c>
      <c r="D45" s="27" t="e">
        <f>'Quadro Geral'!#REF!</f>
        <v>#REF!</v>
      </c>
      <c r="E45" s="279" t="e">
        <f>'Quadro Geral'!#REF!</f>
        <v>#REF!</v>
      </c>
      <c r="F45" s="280"/>
      <c r="G45" s="281"/>
      <c r="H45" s="281"/>
      <c r="I45" s="281"/>
      <c r="J45" s="281"/>
      <c r="K45" s="281"/>
      <c r="L45" s="281"/>
      <c r="M45" s="281"/>
      <c r="N45" s="281"/>
      <c r="O45" s="281"/>
      <c r="P45" s="282">
        <f t="shared" si="0"/>
        <v>0</v>
      </c>
      <c r="Q45" s="281"/>
      <c r="R45" s="282">
        <f t="shared" si="5"/>
        <v>0</v>
      </c>
      <c r="S45" s="23">
        <f t="shared" si="6"/>
        <v>0</v>
      </c>
      <c r="T45" s="32" t="e">
        <f t="shared" si="3"/>
        <v>#REF!</v>
      </c>
    </row>
    <row r="46" spans="1:20" s="14" customFormat="1" ht="23.25" hidden="1" customHeight="1" x14ac:dyDescent="0.3">
      <c r="A46" s="24" t="e">
        <f>'Quadro Geral'!#REF!</f>
        <v>#REF!</v>
      </c>
      <c r="B46" s="25" t="e">
        <f>'Quadro Geral'!#REF!</f>
        <v>#REF!</v>
      </c>
      <c r="C46" s="26" t="e">
        <f>'Quadro Geral'!#REF!</f>
        <v>#REF!</v>
      </c>
      <c r="D46" s="27" t="e">
        <f>'Quadro Geral'!#REF!</f>
        <v>#REF!</v>
      </c>
      <c r="E46" s="279" t="e">
        <f>'Quadro Geral'!#REF!</f>
        <v>#REF!</v>
      </c>
      <c r="F46" s="280"/>
      <c r="G46" s="281"/>
      <c r="H46" s="281"/>
      <c r="I46" s="281"/>
      <c r="J46" s="281"/>
      <c r="K46" s="281"/>
      <c r="L46" s="281"/>
      <c r="M46" s="281"/>
      <c r="N46" s="281"/>
      <c r="O46" s="281"/>
      <c r="P46" s="282">
        <f t="shared" si="0"/>
        <v>0</v>
      </c>
      <c r="Q46" s="281"/>
      <c r="R46" s="282">
        <f t="shared" si="5"/>
        <v>0</v>
      </c>
      <c r="S46" s="23">
        <f t="shared" ref="S46:S48" si="7">IFERROR(R46/$R$49*100,0)</f>
        <v>0</v>
      </c>
      <c r="T46" s="32" t="e">
        <f t="shared" si="3"/>
        <v>#REF!</v>
      </c>
    </row>
    <row r="47" spans="1:20" s="14" customFormat="1" ht="23.25" hidden="1" customHeight="1" x14ac:dyDescent="0.3">
      <c r="A47" s="24" t="e">
        <f>'Quadro Geral'!#REF!</f>
        <v>#REF!</v>
      </c>
      <c r="B47" s="25" t="e">
        <f>'Quadro Geral'!#REF!</f>
        <v>#REF!</v>
      </c>
      <c r="C47" s="26" t="e">
        <f>'Quadro Geral'!#REF!</f>
        <v>#REF!</v>
      </c>
      <c r="D47" s="27" t="e">
        <f>'Quadro Geral'!#REF!</f>
        <v>#REF!</v>
      </c>
      <c r="E47" s="279" t="e">
        <f>'Quadro Geral'!#REF!</f>
        <v>#REF!</v>
      </c>
      <c r="F47" s="280"/>
      <c r="G47" s="281"/>
      <c r="H47" s="281"/>
      <c r="I47" s="281"/>
      <c r="J47" s="281"/>
      <c r="K47" s="281"/>
      <c r="L47" s="281"/>
      <c r="M47" s="281"/>
      <c r="N47" s="281"/>
      <c r="O47" s="281"/>
      <c r="P47" s="282">
        <f t="shared" si="0"/>
        <v>0</v>
      </c>
      <c r="Q47" s="281"/>
      <c r="R47" s="282">
        <f t="shared" si="5"/>
        <v>0</v>
      </c>
      <c r="S47" s="23">
        <f t="shared" si="7"/>
        <v>0</v>
      </c>
      <c r="T47" s="32" t="e">
        <f t="shared" si="3"/>
        <v>#REF!</v>
      </c>
    </row>
    <row r="48" spans="1:20" s="14" customFormat="1" ht="23.25" hidden="1" customHeight="1" x14ac:dyDescent="0.3">
      <c r="A48" s="24" t="e">
        <f>'Quadro Geral'!#REF!</f>
        <v>#REF!</v>
      </c>
      <c r="B48" s="25" t="e">
        <f>'Quadro Geral'!#REF!</f>
        <v>#REF!</v>
      </c>
      <c r="C48" s="26" t="e">
        <f>'Quadro Geral'!#REF!</f>
        <v>#REF!</v>
      </c>
      <c r="D48" s="27" t="e">
        <f>'Quadro Geral'!#REF!</f>
        <v>#REF!</v>
      </c>
      <c r="E48" s="279" t="e">
        <f>'Quadro Geral'!#REF!</f>
        <v>#REF!</v>
      </c>
      <c r="F48" s="280"/>
      <c r="G48" s="281"/>
      <c r="H48" s="281"/>
      <c r="I48" s="281"/>
      <c r="J48" s="281"/>
      <c r="K48" s="281"/>
      <c r="L48" s="281"/>
      <c r="M48" s="281"/>
      <c r="N48" s="281"/>
      <c r="O48" s="281"/>
      <c r="P48" s="282">
        <f t="shared" si="0"/>
        <v>0</v>
      </c>
      <c r="Q48" s="281"/>
      <c r="R48" s="282">
        <f t="shared" si="5"/>
        <v>0</v>
      </c>
      <c r="S48" s="23">
        <f t="shared" si="7"/>
        <v>0</v>
      </c>
      <c r="T48" s="32" t="e">
        <f t="shared" si="3"/>
        <v>#REF!</v>
      </c>
    </row>
    <row r="49" spans="1:20" s="19" customFormat="1" ht="18.75" x14ac:dyDescent="0.3">
      <c r="A49" s="502" t="s">
        <v>67</v>
      </c>
      <c r="B49" s="502"/>
      <c r="C49" s="502"/>
      <c r="D49" s="502"/>
      <c r="E49" s="283">
        <f>SUM(E12:E29)</f>
        <v>2004600.2200000002</v>
      </c>
      <c r="F49" s="284"/>
      <c r="G49" s="283">
        <f t="shared" ref="G49:S49" si="8">SUM(G12:G48)</f>
        <v>717868.83000000007</v>
      </c>
      <c r="H49" s="283">
        <f t="shared" si="8"/>
        <v>15938.37</v>
      </c>
      <c r="I49" s="283">
        <f t="shared" si="8"/>
        <v>6600</v>
      </c>
      <c r="J49" s="283">
        <f t="shared" si="8"/>
        <v>52632.380000000005</v>
      </c>
      <c r="K49" s="283">
        <f t="shared" si="8"/>
        <v>34751</v>
      </c>
      <c r="L49" s="283">
        <f t="shared" si="8"/>
        <v>307402.64</v>
      </c>
      <c r="M49" s="283">
        <f t="shared" si="8"/>
        <v>59407</v>
      </c>
      <c r="N49" s="283">
        <f t="shared" si="8"/>
        <v>10000</v>
      </c>
      <c r="O49" s="283">
        <f t="shared" si="8"/>
        <v>0</v>
      </c>
      <c r="P49" s="283">
        <f>SUM(P12:P48)</f>
        <v>1204600.2200000002</v>
      </c>
      <c r="Q49" s="283">
        <f t="shared" si="8"/>
        <v>800000</v>
      </c>
      <c r="R49" s="283"/>
      <c r="S49" s="503">
        <f t="shared" si="8"/>
        <v>0</v>
      </c>
      <c r="T49" s="308" t="b">
        <f t="shared" si="3"/>
        <v>0</v>
      </c>
    </row>
    <row r="50" spans="1:20" s="19" customFormat="1" ht="18.75" x14ac:dyDescent="0.3">
      <c r="A50" s="502" t="s">
        <v>63</v>
      </c>
      <c r="B50" s="502"/>
      <c r="C50" s="502"/>
      <c r="D50" s="502"/>
      <c r="E50" s="502"/>
      <c r="F50" s="72"/>
      <c r="G50" s="20">
        <f>IFERROR(G49/$R49*100,0)</f>
        <v>0</v>
      </c>
      <c r="H50" s="20">
        <f t="shared" ref="H50:R50" si="9">IFERROR(H49/$R49*100,0)</f>
        <v>0</v>
      </c>
      <c r="I50" s="20">
        <f t="shared" si="9"/>
        <v>0</v>
      </c>
      <c r="J50" s="20">
        <f t="shared" si="9"/>
        <v>0</v>
      </c>
      <c r="K50" s="20">
        <f t="shared" si="9"/>
        <v>0</v>
      </c>
      <c r="L50" s="20">
        <f t="shared" si="9"/>
        <v>0</v>
      </c>
      <c r="M50" s="20">
        <f t="shared" si="9"/>
        <v>0</v>
      </c>
      <c r="N50" s="20">
        <f t="shared" si="9"/>
        <v>0</v>
      </c>
      <c r="O50" s="20">
        <f t="shared" si="9"/>
        <v>0</v>
      </c>
      <c r="P50" s="20">
        <f t="shared" si="9"/>
        <v>0</v>
      </c>
      <c r="Q50" s="20">
        <f t="shared" si="9"/>
        <v>0</v>
      </c>
      <c r="R50" s="20">
        <f t="shared" si="9"/>
        <v>0</v>
      </c>
      <c r="S50" s="503"/>
      <c r="T50" s="309"/>
    </row>
    <row r="51" spans="1:20" s="21" customFormat="1" x14ac:dyDescent="0.25">
      <c r="A51" s="504" t="s">
        <v>383</v>
      </c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310"/>
    </row>
    <row r="52" spans="1:20" s="21" customFormat="1" x14ac:dyDescent="0.25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310"/>
    </row>
    <row r="53" spans="1:20" s="21" customFormat="1" ht="13.5" x14ac:dyDescent="0.25">
      <c r="A53" s="485" t="s">
        <v>377</v>
      </c>
      <c r="B53" s="486"/>
      <c r="C53" s="486"/>
      <c r="D53" s="486"/>
      <c r="E53" s="486"/>
      <c r="F53" s="486"/>
      <c r="G53" s="486"/>
      <c r="H53" s="486"/>
      <c r="I53" s="486"/>
      <c r="J53" s="486"/>
      <c r="K53" s="486"/>
      <c r="L53" s="486"/>
      <c r="M53" s="486"/>
      <c r="N53" s="486"/>
      <c r="O53" s="486"/>
      <c r="P53" s="486"/>
      <c r="Q53" s="486"/>
      <c r="R53" s="486"/>
      <c r="S53" s="487"/>
      <c r="T53" s="310"/>
    </row>
    <row r="54" spans="1:20" s="21" customFormat="1" ht="27.75" customHeight="1" x14ac:dyDescent="0.25">
      <c r="A54" s="488" t="s">
        <v>378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90"/>
      <c r="T54" s="310"/>
    </row>
    <row r="55" spans="1:20" s="21" customFormat="1" ht="36" customHeight="1" x14ac:dyDescent="0.25">
      <c r="A55" s="491"/>
      <c r="B55" s="492"/>
      <c r="C55" s="492"/>
      <c r="D55" s="492"/>
      <c r="E55" s="492"/>
      <c r="F55" s="492"/>
      <c r="G55" s="492"/>
      <c r="H55" s="492"/>
      <c r="I55" s="492"/>
      <c r="J55" s="492"/>
      <c r="K55" s="492"/>
      <c r="L55" s="492"/>
      <c r="M55" s="492"/>
      <c r="N55" s="492"/>
      <c r="O55" s="492"/>
      <c r="P55" s="492"/>
      <c r="Q55" s="492"/>
      <c r="R55" s="492"/>
      <c r="S55" s="493"/>
      <c r="T55" s="310"/>
    </row>
    <row r="56" spans="1:20" s="21" customFormat="1" ht="27.75" customHeight="1" x14ac:dyDescent="0.25">
      <c r="A56" s="491"/>
      <c r="B56" s="492"/>
      <c r="C56" s="492"/>
      <c r="D56" s="492"/>
      <c r="E56" s="492"/>
      <c r="F56" s="492"/>
      <c r="G56" s="492"/>
      <c r="H56" s="492"/>
      <c r="I56" s="492"/>
      <c r="J56" s="492"/>
      <c r="K56" s="492"/>
      <c r="L56" s="492"/>
      <c r="M56" s="492"/>
      <c r="N56" s="492"/>
      <c r="O56" s="492"/>
      <c r="P56" s="492"/>
      <c r="Q56" s="492"/>
      <c r="R56" s="492"/>
      <c r="S56" s="493"/>
      <c r="T56" s="310"/>
    </row>
    <row r="57" spans="1:20" s="21" customFormat="1" ht="27.75" customHeight="1" x14ac:dyDescent="0.25">
      <c r="A57" s="491"/>
      <c r="B57" s="492"/>
      <c r="C57" s="492"/>
      <c r="D57" s="492"/>
      <c r="E57" s="492"/>
      <c r="F57" s="492"/>
      <c r="G57" s="492"/>
      <c r="H57" s="492"/>
      <c r="I57" s="492"/>
      <c r="J57" s="492"/>
      <c r="K57" s="492"/>
      <c r="L57" s="492"/>
      <c r="M57" s="492"/>
      <c r="N57" s="492"/>
      <c r="O57" s="492"/>
      <c r="P57" s="492"/>
      <c r="Q57" s="492"/>
      <c r="R57" s="492"/>
      <c r="S57" s="493"/>
      <c r="T57" s="310"/>
    </row>
    <row r="58" spans="1:20" s="21" customFormat="1" ht="27.75" customHeight="1" x14ac:dyDescent="0.25">
      <c r="A58" s="491"/>
      <c r="B58" s="492"/>
      <c r="C58" s="492"/>
      <c r="D58" s="492"/>
      <c r="E58" s="492"/>
      <c r="F58" s="492"/>
      <c r="G58" s="492"/>
      <c r="H58" s="492"/>
      <c r="I58" s="492"/>
      <c r="J58" s="492"/>
      <c r="K58" s="492"/>
      <c r="L58" s="492"/>
      <c r="M58" s="492"/>
      <c r="N58" s="492"/>
      <c r="O58" s="492"/>
      <c r="P58" s="492"/>
      <c r="Q58" s="492"/>
      <c r="R58" s="492"/>
      <c r="S58" s="493"/>
      <c r="T58" s="310"/>
    </row>
    <row r="59" spans="1:20" s="21" customFormat="1" ht="27.75" customHeight="1" x14ac:dyDescent="0.25">
      <c r="A59" s="491"/>
      <c r="B59" s="492"/>
      <c r="C59" s="492"/>
      <c r="D59" s="492"/>
      <c r="E59" s="492"/>
      <c r="F59" s="492"/>
      <c r="G59" s="492"/>
      <c r="H59" s="492"/>
      <c r="I59" s="492"/>
      <c r="J59" s="492"/>
      <c r="K59" s="492"/>
      <c r="L59" s="492"/>
      <c r="M59" s="492"/>
      <c r="N59" s="492"/>
      <c r="O59" s="492"/>
      <c r="P59" s="492"/>
      <c r="Q59" s="492"/>
      <c r="R59" s="492"/>
      <c r="S59" s="493"/>
      <c r="T59" s="310"/>
    </row>
    <row r="60" spans="1:20" s="21" customFormat="1" ht="27.75" customHeight="1" x14ac:dyDescent="0.25">
      <c r="A60" s="491"/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92"/>
      <c r="N60" s="492"/>
      <c r="O60" s="492"/>
      <c r="P60" s="492"/>
      <c r="Q60" s="492"/>
      <c r="R60" s="492"/>
      <c r="S60" s="493"/>
      <c r="T60" s="310"/>
    </row>
    <row r="61" spans="1:20" s="22" customFormat="1" ht="27.75" customHeight="1" x14ac:dyDescent="0.25">
      <c r="A61" s="491"/>
      <c r="B61" s="492"/>
      <c r="C61" s="492"/>
      <c r="D61" s="492"/>
      <c r="E61" s="492"/>
      <c r="F61" s="492"/>
      <c r="G61" s="492"/>
      <c r="H61" s="492"/>
      <c r="I61" s="492"/>
      <c r="J61" s="492"/>
      <c r="K61" s="492"/>
      <c r="L61" s="492"/>
      <c r="M61" s="492"/>
      <c r="N61" s="492"/>
      <c r="O61" s="492"/>
      <c r="P61" s="492"/>
      <c r="Q61" s="492"/>
      <c r="R61" s="492"/>
      <c r="S61" s="493"/>
      <c r="T61" s="311"/>
    </row>
    <row r="62" spans="1:20" ht="27.75" customHeight="1" x14ac:dyDescent="0.25">
      <c r="A62" s="491"/>
      <c r="B62" s="492"/>
      <c r="C62" s="492"/>
      <c r="D62" s="492"/>
      <c r="E62" s="492"/>
      <c r="F62" s="492"/>
      <c r="G62" s="492"/>
      <c r="H62" s="492"/>
      <c r="I62" s="492"/>
      <c r="J62" s="492"/>
      <c r="K62" s="492"/>
      <c r="L62" s="492"/>
      <c r="M62" s="492"/>
      <c r="N62" s="492"/>
      <c r="O62" s="492"/>
      <c r="P62" s="492"/>
      <c r="Q62" s="492"/>
      <c r="R62" s="492"/>
      <c r="S62" s="493"/>
    </row>
    <row r="63" spans="1:20" ht="27.75" customHeight="1" x14ac:dyDescent="0.25">
      <c r="A63" s="494"/>
      <c r="B63" s="495"/>
      <c r="C63" s="495"/>
      <c r="D63" s="495"/>
      <c r="E63" s="495"/>
      <c r="F63" s="495"/>
      <c r="G63" s="495"/>
      <c r="H63" s="495"/>
      <c r="I63" s="495"/>
      <c r="J63" s="495"/>
      <c r="K63" s="495"/>
      <c r="L63" s="495"/>
      <c r="M63" s="495"/>
      <c r="N63" s="495"/>
      <c r="O63" s="495"/>
      <c r="P63" s="495"/>
      <c r="Q63" s="495"/>
      <c r="R63" s="495"/>
      <c r="S63" s="496"/>
    </row>
  </sheetData>
  <mergeCells count="24">
    <mergeCell ref="A53:S53"/>
    <mergeCell ref="A54:S63"/>
    <mergeCell ref="U11:AA11"/>
    <mergeCell ref="J10:L10"/>
    <mergeCell ref="M10:M11"/>
    <mergeCell ref="N10:N11"/>
    <mergeCell ref="A49:D49"/>
    <mergeCell ref="S49:S50"/>
    <mergeCell ref="A50:E50"/>
    <mergeCell ref="A51:S51"/>
    <mergeCell ref="A6:S6"/>
    <mergeCell ref="I10:I11"/>
    <mergeCell ref="O10:O11"/>
    <mergeCell ref="P10:P11"/>
    <mergeCell ref="Q10:Q11"/>
    <mergeCell ref="R10:R11"/>
    <mergeCell ref="A10:A11"/>
    <mergeCell ref="B10:B11"/>
    <mergeCell ref="C10:C11"/>
    <mergeCell ref="D10:D11"/>
    <mergeCell ref="E10:E11"/>
    <mergeCell ref="G10:H10"/>
    <mergeCell ref="A7:S7"/>
    <mergeCell ref="S10:S11"/>
  </mergeCells>
  <pageMargins left="0.51181102362204722" right="0.51181102362204722" top="0.78740157480314965" bottom="0.78740157480314965" header="0.31496062992125984" footer="0.31496062992125984"/>
  <pageSetup scale="45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106"/>
  <sheetViews>
    <sheetView showGridLines="0" topLeftCell="D18" zoomScale="40" zoomScaleNormal="40" zoomScaleSheetLayoutView="80" workbookViewId="0">
      <selection activeCell="I21" sqref="I21:I26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91.570312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402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403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404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Geral'!D10</f>
        <v>1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405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Geral'!E10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50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Geral'!F10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406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Geral'!H10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s="3" customFormat="1" ht="99" customHeight="1" x14ac:dyDescent="0.25">
      <c r="A21" s="84">
        <v>1</v>
      </c>
      <c r="B21" s="285">
        <v>13</v>
      </c>
      <c r="C21" s="156" t="s">
        <v>501</v>
      </c>
      <c r="D21" s="74"/>
      <c r="E21" s="74" t="s">
        <v>510</v>
      </c>
      <c r="F21" s="75">
        <v>43831</v>
      </c>
      <c r="G21" s="75">
        <v>44196</v>
      </c>
      <c r="H21" s="231">
        <v>14016.17</v>
      </c>
      <c r="I21" s="231">
        <f>2369.25+2369.25</f>
        <v>4738.5</v>
      </c>
      <c r="J21" s="86">
        <f t="shared" ref="J21:J29" si="0">I21-H21</f>
        <v>-9277.67</v>
      </c>
      <c r="K21" s="76">
        <f t="shared" ref="K21:K29" si="1">IFERROR(J21/H21*100,0)</f>
        <v>-66.192618953679926</v>
      </c>
      <c r="L21" s="76">
        <f t="shared" ref="L21:L30" si="2">IFERROR(I21/$I$30*100,0)</f>
        <v>5.3324915682825633</v>
      </c>
      <c r="M21" s="76" t="s">
        <v>64</v>
      </c>
      <c r="N21" s="103"/>
      <c r="O21" s="107">
        <f t="shared" ref="O21:O29" si="3">IFERROR(N21/I21*100,)</f>
        <v>0</v>
      </c>
      <c r="P21" s="74" t="s">
        <v>498</v>
      </c>
      <c r="Z21" s="161"/>
      <c r="AA21" s="240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s="3" customFormat="1" ht="99" customHeight="1" x14ac:dyDescent="0.25">
      <c r="A22" s="84">
        <v>2</v>
      </c>
      <c r="B22" s="285">
        <v>13</v>
      </c>
      <c r="C22" s="74" t="s">
        <v>502</v>
      </c>
      <c r="D22" s="74"/>
      <c r="E22" s="74" t="s">
        <v>510</v>
      </c>
      <c r="F22" s="75">
        <v>43831</v>
      </c>
      <c r="G22" s="75">
        <v>44196</v>
      </c>
      <c r="H22" s="231">
        <v>0</v>
      </c>
      <c r="I22" s="231">
        <f>3843.84+2142.14</f>
        <v>5985.98</v>
      </c>
      <c r="J22" s="86">
        <f t="shared" si="0"/>
        <v>5985.98</v>
      </c>
      <c r="K22" s="76">
        <f t="shared" si="1"/>
        <v>0</v>
      </c>
      <c r="L22" s="76">
        <f t="shared" si="2"/>
        <v>6.7363486077678711</v>
      </c>
      <c r="M22" s="76" t="s">
        <v>64</v>
      </c>
      <c r="N22" s="103"/>
      <c r="O22" s="107">
        <f t="shared" si="3"/>
        <v>0</v>
      </c>
      <c r="P22" s="74" t="s">
        <v>498</v>
      </c>
      <c r="Z22" s="161"/>
      <c r="AA22" s="240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s="3" customFormat="1" ht="129" customHeight="1" x14ac:dyDescent="0.25">
      <c r="A23" s="84">
        <v>3</v>
      </c>
      <c r="B23" s="285">
        <v>9</v>
      </c>
      <c r="C23" s="74" t="s">
        <v>493</v>
      </c>
      <c r="D23" s="74"/>
      <c r="E23" s="74" t="s">
        <v>504</v>
      </c>
      <c r="F23" s="75">
        <v>43831</v>
      </c>
      <c r="G23" s="75">
        <v>44196</v>
      </c>
      <c r="H23" s="231">
        <v>17010.5</v>
      </c>
      <c r="I23" s="231">
        <f>12474+243</f>
        <v>12717</v>
      </c>
      <c r="J23" s="86">
        <f t="shared" si="0"/>
        <v>-4293.5</v>
      </c>
      <c r="K23" s="76">
        <f t="shared" si="1"/>
        <v>-25.240292760353899</v>
      </c>
      <c r="L23" s="76">
        <f t="shared" si="2"/>
        <v>14.311131217442094</v>
      </c>
      <c r="M23" s="76" t="s">
        <v>64</v>
      </c>
      <c r="N23" s="286">
        <v>10840.22</v>
      </c>
      <c r="O23" s="107">
        <f t="shared" si="3"/>
        <v>85.241959581662343</v>
      </c>
      <c r="P23" s="74" t="s">
        <v>498</v>
      </c>
      <c r="Z23" s="161"/>
      <c r="AA23" s="240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s="3" customFormat="1" ht="99" customHeight="1" x14ac:dyDescent="0.25">
      <c r="A24" s="84">
        <v>4</v>
      </c>
      <c r="B24" s="285">
        <v>9</v>
      </c>
      <c r="C24" s="74" t="s">
        <v>573</v>
      </c>
      <c r="D24" s="74"/>
      <c r="E24" s="74" t="s">
        <v>504</v>
      </c>
      <c r="F24" s="75">
        <v>43831</v>
      </c>
      <c r="G24" s="75">
        <v>44196</v>
      </c>
      <c r="H24" s="231">
        <v>14472</v>
      </c>
      <c r="I24" s="231">
        <v>12600</v>
      </c>
      <c r="J24" s="86">
        <f t="shared" si="0"/>
        <v>-1872</v>
      </c>
      <c r="K24" s="76">
        <f t="shared" si="1"/>
        <v>-12.935323383084576</v>
      </c>
      <c r="L24" s="76">
        <f t="shared" si="2"/>
        <v>14.179464758965981</v>
      </c>
      <c r="M24" s="76" t="s">
        <v>346</v>
      </c>
      <c r="N24" s="103"/>
      <c r="O24" s="107">
        <f t="shared" si="3"/>
        <v>0</v>
      </c>
      <c r="P24" s="74" t="s">
        <v>498</v>
      </c>
      <c r="Z24" s="161"/>
      <c r="AA24" s="240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s="3" customFormat="1" ht="99" customHeight="1" x14ac:dyDescent="0.25">
      <c r="A25" s="84">
        <v>5</v>
      </c>
      <c r="B25" s="285">
        <v>12</v>
      </c>
      <c r="C25" s="74" t="s">
        <v>457</v>
      </c>
      <c r="D25" s="74"/>
      <c r="E25" s="74" t="s">
        <v>515</v>
      </c>
      <c r="F25" s="75">
        <v>43831</v>
      </c>
      <c r="G25" s="75">
        <v>44196</v>
      </c>
      <c r="H25" s="231">
        <v>48883.88</v>
      </c>
      <c r="I25" s="301">
        <f>52219.4205944444-0.0005944444</f>
        <v>52219.42</v>
      </c>
      <c r="J25" s="86">
        <f t="shared" si="0"/>
        <v>3335.5400000000009</v>
      </c>
      <c r="K25" s="76">
        <f t="shared" si="1"/>
        <v>6.8233945423317479</v>
      </c>
      <c r="L25" s="76">
        <f t="shared" si="2"/>
        <v>58.765351239971686</v>
      </c>
      <c r="M25" s="76" t="s">
        <v>92</v>
      </c>
      <c r="N25" s="103">
        <f>I25*0.5</f>
        <v>26109.71</v>
      </c>
      <c r="O25" s="107">
        <f t="shared" si="3"/>
        <v>50</v>
      </c>
      <c r="P25" s="74" t="s">
        <v>498</v>
      </c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</row>
    <row r="26" spans="1:36" s="3" customFormat="1" ht="99" customHeight="1" x14ac:dyDescent="0.25">
      <c r="A26" s="84">
        <v>6</v>
      </c>
      <c r="B26" s="285">
        <v>1</v>
      </c>
      <c r="C26" s="74" t="s">
        <v>456</v>
      </c>
      <c r="D26" s="74"/>
      <c r="E26" s="74" t="s">
        <v>505</v>
      </c>
      <c r="F26" s="75">
        <v>43831</v>
      </c>
      <c r="G26" s="75">
        <v>44196</v>
      </c>
      <c r="H26" s="231">
        <v>1000</v>
      </c>
      <c r="I26" s="231">
        <v>600</v>
      </c>
      <c r="J26" s="86">
        <f t="shared" si="0"/>
        <v>-400</v>
      </c>
      <c r="K26" s="76">
        <f t="shared" si="1"/>
        <v>-40</v>
      </c>
      <c r="L26" s="76">
        <f t="shared" si="2"/>
        <v>0.67521260756980861</v>
      </c>
      <c r="M26" s="76" t="s">
        <v>59</v>
      </c>
      <c r="N26" s="103"/>
      <c r="O26" s="107">
        <f t="shared" si="3"/>
        <v>0</v>
      </c>
      <c r="P26" s="74" t="s">
        <v>498</v>
      </c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1"/>
      <c r="I27" s="231"/>
      <c r="J27" s="86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AA27" s="164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1"/>
      <c r="I28" s="231"/>
      <c r="J28" s="86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1"/>
      <c r="I29" s="231"/>
      <c r="J29" s="86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</row>
    <row r="30" spans="1:36" s="2" customFormat="1" ht="24.75" customHeight="1" x14ac:dyDescent="0.25">
      <c r="A30" s="531" t="s">
        <v>0</v>
      </c>
      <c r="B30" s="532"/>
      <c r="C30" s="532"/>
      <c r="D30" s="532"/>
      <c r="E30" s="532"/>
      <c r="F30" s="532"/>
      <c r="G30" s="533"/>
      <c r="H30" s="288">
        <f>SUM(H21:H29)</f>
        <v>95382.549999999988</v>
      </c>
      <c r="I30" s="288">
        <f>SUM(I21:I29)</f>
        <v>88860.9</v>
      </c>
      <c r="J30" s="105">
        <f>I30-H30</f>
        <v>-6521.6499999999942</v>
      </c>
      <c r="K30" s="106">
        <f>IFERROR(J30/H30*100,0)</f>
        <v>-6.8373617606155372</v>
      </c>
      <c r="L30" s="106">
        <f t="shared" si="2"/>
        <v>100</v>
      </c>
      <c r="M30" s="106"/>
      <c r="N30" s="289">
        <f>SUM(N21:N29)</f>
        <v>36949.93</v>
      </c>
      <c r="O30" s="106">
        <f>IFERROR(N30/I30*100,)</f>
        <v>41.581764308036497</v>
      </c>
      <c r="P30" s="106"/>
    </row>
    <row r="31" spans="1:36" ht="39.75" customHeight="1" x14ac:dyDescent="0.25">
      <c r="A31" s="3"/>
      <c r="B31" s="3"/>
      <c r="C31" s="3"/>
      <c r="D31" s="3"/>
      <c r="E31" s="3"/>
      <c r="F31" s="3"/>
      <c r="G31" s="3"/>
      <c r="H31" s="223">
        <f>'Quadro Geral'!I10</f>
        <v>95382.549999999988</v>
      </c>
      <c r="I31" s="3"/>
      <c r="J31" s="3"/>
      <c r="K31" s="3"/>
      <c r="L31" s="3"/>
      <c r="M31" s="3"/>
      <c r="N31" s="3"/>
      <c r="O31" s="3"/>
      <c r="P31" s="3"/>
    </row>
    <row r="32" spans="1:36" ht="39.75" customHeight="1" x14ac:dyDescent="0.25">
      <c r="A32" s="534" t="s">
        <v>77</v>
      </c>
      <c r="B32" s="534"/>
      <c r="C32" s="534"/>
      <c r="D32" s="534"/>
      <c r="E32" s="534"/>
      <c r="F32" s="534"/>
      <c r="G32" s="534"/>
      <c r="H32" s="534"/>
      <c r="I32" s="534"/>
      <c r="J32" s="534"/>
      <c r="K32" s="534"/>
      <c r="L32" s="534"/>
      <c r="M32" s="534"/>
      <c r="N32" s="534"/>
      <c r="O32" s="534"/>
      <c r="P32" s="534"/>
    </row>
    <row r="33" spans="1:20" ht="36" customHeight="1" x14ac:dyDescent="0.25">
      <c r="A33" s="535" t="s">
        <v>379</v>
      </c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7"/>
    </row>
    <row r="34" spans="1:20" ht="95.25" customHeight="1" x14ac:dyDescent="0.25">
      <c r="A34" s="540"/>
      <c r="B34" s="541"/>
      <c r="C34" s="541"/>
      <c r="D34" s="541"/>
      <c r="E34" s="541"/>
      <c r="F34" s="541"/>
      <c r="G34" s="541"/>
      <c r="H34" s="541"/>
      <c r="I34" s="541"/>
      <c r="J34" s="541"/>
      <c r="K34" s="541"/>
      <c r="L34" s="541"/>
      <c r="M34" s="541"/>
      <c r="N34" s="541"/>
      <c r="O34" s="541"/>
      <c r="P34" s="542"/>
    </row>
    <row r="35" spans="1:20" ht="15" hidden="1" customHeight="1" x14ac:dyDescent="0.25">
      <c r="A35" s="543" t="s">
        <v>8</v>
      </c>
      <c r="B35" s="543"/>
      <c r="C35" s="543"/>
      <c r="D35" s="543"/>
      <c r="E35" s="543"/>
      <c r="F35" s="543"/>
      <c r="G35" s="290"/>
      <c r="H35" s="290"/>
      <c r="I35" s="290"/>
      <c r="J35" s="290"/>
      <c r="K35" s="290"/>
      <c r="L35" s="290"/>
      <c r="M35" s="290"/>
      <c r="N35" s="290"/>
      <c r="O35" s="290"/>
      <c r="P35" s="290"/>
    </row>
    <row r="36" spans="1:20" ht="15" hidden="1" customHeight="1" x14ac:dyDescent="0.25">
      <c r="A36" s="291" t="s">
        <v>12</v>
      </c>
      <c r="B36" s="544" t="s">
        <v>16</v>
      </c>
      <c r="C36" s="544"/>
      <c r="D36" s="544"/>
      <c r="E36" s="544"/>
      <c r="F36" s="544"/>
      <c r="N36" s="156"/>
      <c r="O36" s="156"/>
      <c r="P36" s="156"/>
    </row>
    <row r="37" spans="1:20" ht="15" hidden="1" customHeight="1" x14ac:dyDescent="0.25">
      <c r="A37" s="291" t="s">
        <v>13</v>
      </c>
      <c r="B37" s="544" t="s">
        <v>9</v>
      </c>
      <c r="C37" s="544"/>
      <c r="D37" s="544"/>
      <c r="E37" s="544"/>
      <c r="F37" s="544"/>
      <c r="N37" s="156"/>
      <c r="O37" s="156"/>
      <c r="P37" s="156"/>
    </row>
    <row r="38" spans="1:20" ht="15" hidden="1" customHeight="1" x14ac:dyDescent="0.25">
      <c r="A38" s="291" t="s">
        <v>14</v>
      </c>
      <c r="B38" s="544" t="s">
        <v>10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15</v>
      </c>
      <c r="B39" s="544" t="s">
        <v>11</v>
      </c>
      <c r="C39" s="544"/>
      <c r="D39" s="544"/>
      <c r="E39" s="544"/>
      <c r="F39" s="544"/>
      <c r="N39" s="156"/>
      <c r="O39" s="156"/>
      <c r="P39" s="156"/>
    </row>
    <row r="40" spans="1:20" ht="35.25" customHeight="1" x14ac:dyDescent="0.25"/>
    <row r="41" spans="1:20" ht="60" customHeight="1" x14ac:dyDescent="0.25">
      <c r="A41" s="535" t="s">
        <v>385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7"/>
      <c r="Q41" s="133"/>
      <c r="R41" s="133"/>
      <c r="S41" s="133"/>
      <c r="T41" s="187"/>
    </row>
    <row r="42" spans="1:20" ht="26.25" customHeight="1" x14ac:dyDescent="0.25">
      <c r="A42" s="538" t="s">
        <v>389</v>
      </c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</row>
    <row r="43" spans="1:20" ht="26.25" customHeight="1" x14ac:dyDescent="0.25">
      <c r="A43" s="539"/>
      <c r="B43" s="539"/>
      <c r="C43" s="539"/>
      <c r="D43" s="539"/>
      <c r="E43" s="539"/>
      <c r="F43" s="539"/>
      <c r="G43" s="539"/>
      <c r="H43" s="539"/>
      <c r="I43" s="539"/>
      <c r="J43" s="539"/>
      <c r="K43" s="539"/>
      <c r="L43" s="539"/>
      <c r="M43" s="539"/>
      <c r="N43" s="539"/>
      <c r="O43" s="539"/>
      <c r="P43" s="539"/>
    </row>
    <row r="44" spans="1:20" ht="26.25" customHeight="1" x14ac:dyDescent="0.25">
      <c r="A44" s="539"/>
      <c r="B44" s="539"/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1.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26.25" hidden="1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26.25" hidden="1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25.75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  <row r="106" spans="8:8" x14ac:dyDescent="0.25">
      <c r="H106" s="156">
        <v>17010.5</v>
      </c>
    </row>
  </sheetData>
  <sheetProtection formatCells="0" formatRows="0" insertRows="0" deleteRows="0"/>
  <mergeCells count="51">
    <mergeCell ref="A42:P90"/>
    <mergeCell ref="A34:P34"/>
    <mergeCell ref="A35:F35"/>
    <mergeCell ref="B36:F36"/>
    <mergeCell ref="B37:F37"/>
    <mergeCell ref="B38:F38"/>
    <mergeCell ref="B39:F39"/>
    <mergeCell ref="O19:O20"/>
    <mergeCell ref="A30:G30"/>
    <mergeCell ref="A32:P32"/>
    <mergeCell ref="A41:P41"/>
    <mergeCell ref="A33:P33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disablePrompts="1"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D21:D29</xm:sqref>
        </x14:dataValidation>
        <x14:dataValidation type="list" allowBlank="1" showInputMessage="1" showErrorMessage="1">
          <x14:formula1>
            <xm:f>Resumo!$F$1:$F$12</xm:f>
          </x14:formula1>
          <xm:sqref>M21:M29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AJ92"/>
  <sheetViews>
    <sheetView showGridLines="0" topLeftCell="A17" zoomScale="30" zoomScaleNormal="30" zoomScaleSheetLayoutView="80" workbookViewId="0">
      <selection activeCell="I22" sqref="I22:I25"/>
    </sheetView>
  </sheetViews>
  <sheetFormatPr defaultColWidth="9.140625" defaultRowHeight="26.25" x14ac:dyDescent="0.25"/>
  <cols>
    <col min="1" max="1" width="13" style="156" customWidth="1"/>
    <col min="2" max="2" width="20.85546875" style="156" customWidth="1"/>
    <col min="3" max="3" width="166.5703125" style="156" bestFit="1" customWidth="1"/>
    <col min="4" max="4" width="86.5703125" style="156" customWidth="1"/>
    <col min="5" max="5" width="88.7109375" style="156" customWidth="1"/>
    <col min="6" max="6" width="40.7109375" style="156" customWidth="1"/>
    <col min="7" max="7" width="36.5703125" style="156" customWidth="1"/>
    <col min="8" max="8" width="46.5703125" style="156" customWidth="1"/>
    <col min="9" max="9" width="45.42578125" style="156" customWidth="1"/>
    <col min="10" max="10" width="34.42578125" style="156" customWidth="1"/>
    <col min="11" max="11" width="25" style="156" customWidth="1"/>
    <col min="12" max="12" width="20" style="156" customWidth="1"/>
    <col min="13" max="13" width="36.85546875" style="156" customWidth="1"/>
    <col min="14" max="14" width="32.28515625" style="287" customWidth="1"/>
    <col min="15" max="15" width="25.85546875" style="287" customWidth="1"/>
    <col min="16" max="16" width="36" style="287" customWidth="1"/>
    <col min="17" max="17" width="15.5703125" style="1" bestFit="1" customWidth="1"/>
    <col min="18" max="22" width="9.140625" style="1"/>
    <col min="23" max="23" width="49.42578125" style="1" hidden="1" customWidth="1"/>
    <col min="24" max="25" width="9.140625" style="1"/>
    <col min="26" max="34" width="9.140625" style="160"/>
    <col min="35" max="16384" width="9.140625" style="1"/>
  </cols>
  <sheetData>
    <row r="5" spans="1:36" ht="39" customHeight="1" x14ac:dyDescent="0.25"/>
    <row r="6" spans="1:36" ht="31.5" customHeight="1" x14ac:dyDescent="0.25">
      <c r="A6" s="505" t="s">
        <v>290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36" ht="56.25" customHeight="1" x14ac:dyDescent="0.25">
      <c r="A7" s="506" t="s">
        <v>384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</row>
    <row r="8" spans="1:36" ht="77.25" customHeight="1" x14ac:dyDescent="0.4">
      <c r="A8" s="507" t="s">
        <v>91</v>
      </c>
      <c r="B8" s="507"/>
      <c r="C8" s="507"/>
      <c r="D8" s="507"/>
      <c r="E8" s="507"/>
      <c r="F8" s="507"/>
      <c r="G8" s="508" t="s">
        <v>463</v>
      </c>
      <c r="H8" s="508"/>
      <c r="I8" s="508"/>
      <c r="J8" s="508"/>
      <c r="K8" s="508"/>
      <c r="L8" s="508"/>
      <c r="M8" s="508"/>
      <c r="N8" s="508"/>
      <c r="O8" s="508"/>
      <c r="P8" s="508"/>
      <c r="Z8" s="161"/>
      <c r="AA8" s="162"/>
      <c r="AB8" s="156"/>
      <c r="AC8" s="156"/>
      <c r="AD8" s="156"/>
      <c r="AE8" s="156"/>
      <c r="AF8" s="156"/>
      <c r="AG8" s="161"/>
      <c r="AH8" s="161"/>
      <c r="AI8" s="161"/>
      <c r="AJ8" s="161"/>
    </row>
    <row r="9" spans="1:36" ht="77.25" customHeight="1" x14ac:dyDescent="0.4">
      <c r="A9" s="507" t="s">
        <v>94</v>
      </c>
      <c r="B9" s="507"/>
      <c r="C9" s="507"/>
      <c r="D9" s="507"/>
      <c r="E9" s="507"/>
      <c r="F9" s="507"/>
      <c r="G9" s="508" t="s">
        <v>499</v>
      </c>
      <c r="H9" s="508"/>
      <c r="I9" s="508"/>
      <c r="J9" s="508"/>
      <c r="K9" s="508"/>
      <c r="L9" s="508"/>
      <c r="M9" s="508"/>
      <c r="N9" s="508"/>
      <c r="O9" s="508"/>
      <c r="P9" s="508"/>
      <c r="Z9" s="161"/>
      <c r="AA9" s="162"/>
      <c r="AB9" s="156"/>
      <c r="AC9" s="156"/>
      <c r="AD9" s="156"/>
      <c r="AE9" s="156"/>
      <c r="AF9" s="156"/>
      <c r="AG9" s="161"/>
      <c r="AH9" s="161"/>
      <c r="AI9" s="161"/>
      <c r="AJ9" s="161"/>
    </row>
    <row r="10" spans="1:36" ht="77.25" customHeight="1" x14ac:dyDescent="0.4">
      <c r="A10" s="507" t="s">
        <v>380</v>
      </c>
      <c r="B10" s="507"/>
      <c r="C10" s="507"/>
      <c r="D10" s="507"/>
      <c r="E10" s="507"/>
      <c r="F10" s="507"/>
      <c r="G10" s="508" t="s">
        <v>393</v>
      </c>
      <c r="H10" s="508"/>
      <c r="I10" s="508"/>
      <c r="J10" s="508"/>
      <c r="K10" s="508"/>
      <c r="L10" s="508"/>
      <c r="M10" s="508"/>
      <c r="N10" s="508"/>
      <c r="O10" s="508"/>
      <c r="P10" s="508"/>
      <c r="W10" s="42" t="s">
        <v>386</v>
      </c>
      <c r="Z10" s="161"/>
      <c r="AA10" s="162"/>
      <c r="AB10" s="156"/>
      <c r="AC10" s="156"/>
      <c r="AD10" s="156"/>
      <c r="AE10" s="156"/>
      <c r="AF10" s="156"/>
      <c r="AG10" s="161"/>
      <c r="AH10" s="161"/>
      <c r="AI10" s="161"/>
      <c r="AJ10" s="161"/>
    </row>
    <row r="11" spans="1:36" ht="77.25" customHeight="1" x14ac:dyDescent="0.4">
      <c r="A11" s="509" t="s">
        <v>292</v>
      </c>
      <c r="B11" s="510"/>
      <c r="C11" s="510"/>
      <c r="D11" s="510"/>
      <c r="E11" s="510"/>
      <c r="F11" s="511"/>
      <c r="G11" s="512"/>
      <c r="H11" s="513"/>
      <c r="I11" s="513"/>
      <c r="J11" s="513"/>
      <c r="K11" s="513"/>
      <c r="L11" s="513"/>
      <c r="M11" s="513"/>
      <c r="N11" s="513"/>
      <c r="O11" s="513"/>
      <c r="P11" s="514"/>
      <c r="W11" s="42" t="s">
        <v>387</v>
      </c>
      <c r="Z11" s="161"/>
      <c r="AA11" s="162"/>
      <c r="AB11" s="156"/>
      <c r="AC11" s="156"/>
      <c r="AD11" s="156"/>
      <c r="AE11" s="156"/>
      <c r="AF11" s="156"/>
      <c r="AG11" s="161"/>
      <c r="AH11" s="161"/>
      <c r="AI11" s="161"/>
      <c r="AJ11" s="161"/>
    </row>
    <row r="12" spans="1:36" ht="77.25" customHeight="1" x14ac:dyDescent="0.4">
      <c r="A12" s="515" t="s">
        <v>95</v>
      </c>
      <c r="B12" s="516"/>
      <c r="C12" s="516"/>
      <c r="D12" s="516"/>
      <c r="E12" s="516"/>
      <c r="F12" s="517"/>
      <c r="G12" s="518" t="s">
        <v>580</v>
      </c>
      <c r="H12" s="519"/>
      <c r="I12" s="519"/>
      <c r="J12" s="519"/>
      <c r="K12" s="519"/>
      <c r="L12" s="519"/>
      <c r="M12" s="519"/>
      <c r="N12" s="519"/>
      <c r="O12" s="519"/>
      <c r="P12" s="520"/>
      <c r="Q12" s="1" t="b">
        <f>G12='Quadro Geral'!D11</f>
        <v>0</v>
      </c>
      <c r="W12" s="42" t="s">
        <v>388</v>
      </c>
      <c r="Z12" s="161"/>
      <c r="AA12" s="162"/>
      <c r="AB12" s="156"/>
      <c r="AC12" s="156"/>
      <c r="AD12" s="156"/>
      <c r="AE12" s="156"/>
      <c r="AF12" s="156"/>
      <c r="AG12" s="161"/>
      <c r="AH12" s="161"/>
      <c r="AI12" s="161"/>
      <c r="AJ12" s="161"/>
    </row>
    <row r="13" spans="1:36" ht="77.25" customHeight="1" x14ac:dyDescent="0.4">
      <c r="A13" s="507" t="s">
        <v>110</v>
      </c>
      <c r="B13" s="507"/>
      <c r="C13" s="507"/>
      <c r="D13" s="507"/>
      <c r="E13" s="507"/>
      <c r="F13" s="507"/>
      <c r="G13" s="508" t="s">
        <v>464</v>
      </c>
      <c r="H13" s="508"/>
      <c r="I13" s="508"/>
      <c r="J13" s="508"/>
      <c r="K13" s="508"/>
      <c r="L13" s="508"/>
      <c r="M13" s="508"/>
      <c r="N13" s="508"/>
      <c r="O13" s="508"/>
      <c r="P13" s="508"/>
      <c r="Q13" s="1" t="b">
        <f>G13='Quadro Geral'!E11</f>
        <v>1</v>
      </c>
      <c r="W13" s="188"/>
      <c r="Z13" s="161"/>
      <c r="AA13" s="162"/>
      <c r="AB13" s="156"/>
      <c r="AC13" s="156"/>
      <c r="AD13" s="156"/>
      <c r="AE13" s="156"/>
      <c r="AF13" s="156"/>
      <c r="AG13" s="161"/>
      <c r="AH13" s="161"/>
      <c r="AI13" s="161"/>
      <c r="AJ13" s="161"/>
    </row>
    <row r="14" spans="1:36" ht="77.25" customHeight="1" x14ac:dyDescent="0.4">
      <c r="A14" s="507" t="s">
        <v>96</v>
      </c>
      <c r="B14" s="507"/>
      <c r="C14" s="507"/>
      <c r="D14" s="507"/>
      <c r="E14" s="507"/>
      <c r="F14" s="507"/>
      <c r="G14" s="508" t="s">
        <v>52</v>
      </c>
      <c r="H14" s="508"/>
      <c r="I14" s="508"/>
      <c r="J14" s="508"/>
      <c r="K14" s="508"/>
      <c r="L14" s="508"/>
      <c r="M14" s="508"/>
      <c r="N14" s="508"/>
      <c r="O14" s="508"/>
      <c r="P14" s="508"/>
      <c r="Q14" s="1" t="b">
        <f>G14='Quadro Geral'!F11</f>
        <v>1</v>
      </c>
      <c r="Z14" s="161"/>
      <c r="AA14" s="162"/>
      <c r="AB14" s="156"/>
      <c r="AC14" s="156"/>
      <c r="AD14" s="156"/>
      <c r="AE14" s="156"/>
      <c r="AF14" s="156"/>
      <c r="AG14" s="161"/>
      <c r="AH14" s="161"/>
      <c r="AI14" s="161"/>
      <c r="AJ14" s="161"/>
    </row>
    <row r="15" spans="1:36" ht="77.25" customHeight="1" x14ac:dyDescent="0.4">
      <c r="A15" s="509" t="s">
        <v>363</v>
      </c>
      <c r="B15" s="510"/>
      <c r="C15" s="510"/>
      <c r="D15" s="510"/>
      <c r="E15" s="510"/>
      <c r="F15" s="511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Z15" s="161"/>
      <c r="AA15" s="162"/>
      <c r="AB15" s="156"/>
      <c r="AC15" s="156"/>
      <c r="AD15" s="156"/>
      <c r="AE15" s="156"/>
      <c r="AF15" s="156"/>
      <c r="AG15" s="161"/>
      <c r="AH15" s="161"/>
      <c r="AI15" s="161"/>
      <c r="AJ15" s="161"/>
    </row>
    <row r="16" spans="1:36" ht="77.25" customHeight="1" x14ac:dyDescent="0.4">
      <c r="A16" s="521" t="s">
        <v>111</v>
      </c>
      <c r="B16" s="521"/>
      <c r="C16" s="521"/>
      <c r="D16" s="521"/>
      <c r="E16" s="521"/>
      <c r="F16" s="521"/>
      <c r="G16" s="522" t="s">
        <v>465</v>
      </c>
      <c r="H16" s="522"/>
      <c r="I16" s="522"/>
      <c r="J16" s="522"/>
      <c r="K16" s="522"/>
      <c r="L16" s="522"/>
      <c r="M16" s="522"/>
      <c r="N16" s="522"/>
      <c r="O16" s="522"/>
      <c r="P16" s="522"/>
      <c r="Q16" s="1" t="b">
        <f>G16='Quadro Geral'!H11</f>
        <v>1</v>
      </c>
      <c r="Z16" s="161"/>
      <c r="AA16" s="162"/>
      <c r="AB16" s="156"/>
      <c r="AC16" s="156"/>
      <c r="AD16" s="156"/>
      <c r="AE16" s="156"/>
      <c r="AF16" s="156"/>
      <c r="AG16" s="161"/>
      <c r="AH16" s="161"/>
      <c r="AI16" s="161"/>
      <c r="AJ16" s="161"/>
    </row>
    <row r="17" spans="1:36" s="28" customFormat="1" ht="24" customHeight="1" x14ac:dyDescent="0.4">
      <c r="A17" s="523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Z17" s="161"/>
      <c r="AA17" s="162"/>
      <c r="AB17" s="156"/>
      <c r="AC17" s="156"/>
      <c r="AD17" s="156"/>
      <c r="AE17" s="156"/>
      <c r="AF17" s="156"/>
      <c r="AG17" s="161"/>
      <c r="AH17" s="161"/>
      <c r="AI17" s="161"/>
      <c r="AJ17" s="161"/>
    </row>
    <row r="18" spans="1:36" ht="98.25" customHeight="1" x14ac:dyDescent="0.4">
      <c r="A18" s="524" t="s">
        <v>112</v>
      </c>
      <c r="B18" s="525" t="s">
        <v>113</v>
      </c>
      <c r="C18" s="526"/>
      <c r="D18" s="526"/>
      <c r="E18" s="526"/>
      <c r="F18" s="525" t="s">
        <v>1</v>
      </c>
      <c r="G18" s="527"/>
      <c r="H18" s="524" t="s">
        <v>114</v>
      </c>
      <c r="I18" s="524"/>
      <c r="J18" s="524" t="s">
        <v>7</v>
      </c>
      <c r="K18" s="524"/>
      <c r="L18" s="524" t="s">
        <v>115</v>
      </c>
      <c r="M18" s="528" t="s">
        <v>296</v>
      </c>
      <c r="N18" s="525" t="s">
        <v>104</v>
      </c>
      <c r="O18" s="527"/>
      <c r="P18" s="524" t="s">
        <v>4</v>
      </c>
      <c r="Z18" s="161"/>
      <c r="AA18" s="162"/>
      <c r="AB18" s="156"/>
      <c r="AC18" s="156"/>
      <c r="AD18" s="156"/>
      <c r="AE18" s="156"/>
      <c r="AF18" s="156"/>
      <c r="AG18" s="161"/>
      <c r="AH18" s="161"/>
      <c r="AI18" s="161"/>
      <c r="AJ18" s="161"/>
    </row>
    <row r="19" spans="1:36" ht="48.75" customHeight="1" x14ac:dyDescent="0.4">
      <c r="A19" s="524"/>
      <c r="B19" s="525" t="s">
        <v>116</v>
      </c>
      <c r="C19" s="526"/>
      <c r="D19" s="527"/>
      <c r="E19" s="524" t="s">
        <v>100</v>
      </c>
      <c r="F19" s="524" t="s">
        <v>2</v>
      </c>
      <c r="G19" s="524" t="s">
        <v>3</v>
      </c>
      <c r="H19" s="524" t="s">
        <v>294</v>
      </c>
      <c r="I19" s="524" t="s">
        <v>295</v>
      </c>
      <c r="J19" s="524" t="s">
        <v>99</v>
      </c>
      <c r="K19" s="524" t="s">
        <v>118</v>
      </c>
      <c r="L19" s="524"/>
      <c r="M19" s="529"/>
      <c r="N19" s="528" t="s">
        <v>57</v>
      </c>
      <c r="O19" s="528" t="s">
        <v>105</v>
      </c>
      <c r="P19" s="524"/>
      <c r="Z19" s="161"/>
      <c r="AA19" s="162"/>
      <c r="AB19" s="156"/>
      <c r="AC19" s="156"/>
      <c r="AD19" s="156"/>
      <c r="AE19" s="156"/>
      <c r="AF19" s="156"/>
      <c r="AG19" s="161"/>
      <c r="AH19" s="161"/>
      <c r="AI19" s="161"/>
      <c r="AJ19" s="161"/>
    </row>
    <row r="20" spans="1:36" ht="110.25" customHeight="1" x14ac:dyDescent="0.4">
      <c r="A20" s="524"/>
      <c r="B20" s="219" t="s">
        <v>375</v>
      </c>
      <c r="C20" s="220" t="s">
        <v>374</v>
      </c>
      <c r="D20" s="177" t="s">
        <v>293</v>
      </c>
      <c r="E20" s="524"/>
      <c r="F20" s="524"/>
      <c r="G20" s="524"/>
      <c r="H20" s="524"/>
      <c r="I20" s="524"/>
      <c r="J20" s="524"/>
      <c r="K20" s="524"/>
      <c r="L20" s="524"/>
      <c r="M20" s="530"/>
      <c r="N20" s="530"/>
      <c r="O20" s="530"/>
      <c r="P20" s="524"/>
      <c r="Z20" s="161"/>
      <c r="AA20" s="162"/>
      <c r="AB20" s="156"/>
      <c r="AC20" s="156"/>
      <c r="AD20" s="156"/>
      <c r="AE20" s="156"/>
      <c r="AF20" s="156"/>
      <c r="AG20" s="161"/>
      <c r="AH20" s="161"/>
      <c r="AI20" s="161"/>
      <c r="AJ20" s="161"/>
    </row>
    <row r="21" spans="1:36" ht="136.5" hidden="1" customHeight="1" x14ac:dyDescent="0.4">
      <c r="A21" s="174">
        <v>1</v>
      </c>
      <c r="B21" s="174">
        <v>3000</v>
      </c>
      <c r="C21" s="175" t="s">
        <v>370</v>
      </c>
      <c r="D21" s="175" t="s">
        <v>303</v>
      </c>
      <c r="E21" s="174" t="s">
        <v>373</v>
      </c>
      <c r="F21" s="176">
        <v>43831</v>
      </c>
      <c r="G21" s="176">
        <v>44166</v>
      </c>
      <c r="H21" s="85"/>
      <c r="I21" s="85"/>
      <c r="J21" s="86">
        <f>I21-H21</f>
        <v>0</v>
      </c>
      <c r="K21" s="76">
        <f>IFERROR(J21/H21*100,0)</f>
        <v>0</v>
      </c>
      <c r="L21" s="76">
        <f>IFERROR(I21/$I$32*100,0)</f>
        <v>0</v>
      </c>
      <c r="M21" s="76" t="s">
        <v>376</v>
      </c>
      <c r="N21" s="103"/>
      <c r="O21" s="107">
        <f>IFERROR(N21/I21*100,)</f>
        <v>0</v>
      </c>
      <c r="P21" s="74"/>
      <c r="Q21" s="545" t="s">
        <v>364</v>
      </c>
      <c r="R21" s="546"/>
      <c r="S21" s="546"/>
      <c r="T21" s="546"/>
      <c r="U21" s="546"/>
      <c r="V21" s="546"/>
      <c r="W21" s="546"/>
      <c r="Z21" s="161"/>
      <c r="AA21" s="162"/>
      <c r="AB21" s="156"/>
      <c r="AC21" s="156"/>
      <c r="AD21" s="156"/>
      <c r="AE21" s="156"/>
      <c r="AF21" s="156"/>
      <c r="AG21" s="161"/>
      <c r="AH21" s="161"/>
      <c r="AI21" s="161"/>
      <c r="AJ21" s="161"/>
    </row>
    <row r="22" spans="1:36" ht="78.75" x14ac:dyDescent="0.4">
      <c r="A22" s="84">
        <v>1</v>
      </c>
      <c r="B22" s="285">
        <v>13</v>
      </c>
      <c r="C22" s="156" t="s">
        <v>487</v>
      </c>
      <c r="D22" s="74"/>
      <c r="E22" s="74" t="s">
        <v>508</v>
      </c>
      <c r="F22" s="75">
        <v>43831</v>
      </c>
      <c r="G22" s="75">
        <v>44196</v>
      </c>
      <c r="H22" s="237">
        <v>0</v>
      </c>
      <c r="I22" s="237">
        <v>2551.5</v>
      </c>
      <c r="J22" s="292">
        <f t="shared" ref="J22:J31" si="0">I22-H22</f>
        <v>2551.5</v>
      </c>
      <c r="K22" s="76">
        <f t="shared" ref="K22:K31" si="1">IFERROR(J22/H22*100,0)</f>
        <v>0</v>
      </c>
      <c r="L22" s="76">
        <f t="shared" ref="L22:L31" si="2">IFERROR(I22/$I$32*100,0)</f>
        <v>24.315237548863955</v>
      </c>
      <c r="M22" s="76" t="s">
        <v>64</v>
      </c>
      <c r="N22" s="103"/>
      <c r="O22" s="107">
        <f t="shared" ref="O22:O31" si="3">IFERROR(N22/I22*100,)</f>
        <v>0</v>
      </c>
      <c r="P22" s="74" t="s">
        <v>499</v>
      </c>
      <c r="Z22" s="161"/>
      <c r="AA22" s="162"/>
      <c r="AB22" s="156"/>
      <c r="AC22" s="156"/>
      <c r="AD22" s="156"/>
      <c r="AE22" s="156"/>
      <c r="AF22" s="156"/>
      <c r="AG22" s="161"/>
      <c r="AH22" s="161"/>
      <c r="AI22" s="161"/>
      <c r="AJ22" s="161"/>
    </row>
    <row r="23" spans="1:36" ht="78.75" x14ac:dyDescent="0.4">
      <c r="A23" s="84">
        <v>2</v>
      </c>
      <c r="B23" s="285">
        <v>13</v>
      </c>
      <c r="C23" s="74" t="s">
        <v>488</v>
      </c>
      <c r="D23" s="74"/>
      <c r="E23" s="74" t="s">
        <v>508</v>
      </c>
      <c r="F23" s="75">
        <v>43831</v>
      </c>
      <c r="G23" s="75">
        <v>44196</v>
      </c>
      <c r="H23" s="237">
        <v>0</v>
      </c>
      <c r="I23" s="237">
        <v>2306.92</v>
      </c>
      <c r="J23" s="292">
        <f t="shared" si="0"/>
        <v>2306.92</v>
      </c>
      <c r="K23" s="76">
        <f t="shared" si="1"/>
        <v>0</v>
      </c>
      <c r="L23" s="76">
        <f t="shared" si="2"/>
        <v>21.984443584646378</v>
      </c>
      <c r="M23" s="76" t="s">
        <v>64</v>
      </c>
      <c r="N23" s="103"/>
      <c r="O23" s="107">
        <f t="shared" si="3"/>
        <v>0</v>
      </c>
      <c r="P23" s="74" t="s">
        <v>499</v>
      </c>
      <c r="Z23" s="161"/>
      <c r="AA23" s="162"/>
      <c r="AB23" s="156"/>
      <c r="AC23" s="156"/>
      <c r="AD23" s="156"/>
      <c r="AE23" s="156"/>
      <c r="AF23" s="156"/>
      <c r="AG23" s="161"/>
      <c r="AH23" s="161"/>
      <c r="AI23" s="161"/>
      <c r="AJ23" s="161"/>
    </row>
    <row r="24" spans="1:36" ht="131.25" x14ac:dyDescent="0.4">
      <c r="A24" s="84">
        <v>3</v>
      </c>
      <c r="B24" s="285">
        <v>2</v>
      </c>
      <c r="C24" s="74" t="s">
        <v>489</v>
      </c>
      <c r="D24" s="74"/>
      <c r="E24" s="74" t="s">
        <v>509</v>
      </c>
      <c r="F24" s="75">
        <v>43831</v>
      </c>
      <c r="G24" s="75">
        <v>44196</v>
      </c>
      <c r="H24" s="237">
        <v>1701</v>
      </c>
      <c r="I24" s="237">
        <v>2835</v>
      </c>
      <c r="J24" s="292">
        <f t="shared" si="0"/>
        <v>1134</v>
      </c>
      <c r="K24" s="76">
        <f t="shared" si="1"/>
        <v>66.666666666666657</v>
      </c>
      <c r="L24" s="76">
        <f t="shared" si="2"/>
        <v>27.016930609848838</v>
      </c>
      <c r="M24" s="76" t="s">
        <v>64</v>
      </c>
      <c r="N24" s="103"/>
      <c r="O24" s="107">
        <f t="shared" si="3"/>
        <v>0</v>
      </c>
      <c r="P24" s="74" t="s">
        <v>499</v>
      </c>
      <c r="Z24" s="161"/>
      <c r="AA24" s="162"/>
      <c r="AB24" s="156"/>
      <c r="AC24" s="156"/>
      <c r="AD24" s="156"/>
      <c r="AE24" s="156"/>
      <c r="AF24" s="156"/>
      <c r="AG24" s="161"/>
      <c r="AH24" s="161"/>
      <c r="AI24" s="161"/>
      <c r="AJ24" s="161"/>
    </row>
    <row r="25" spans="1:36" ht="131.25" x14ac:dyDescent="0.4">
      <c r="A25" s="84">
        <v>4</v>
      </c>
      <c r="B25" s="285">
        <v>2</v>
      </c>
      <c r="C25" s="74" t="s">
        <v>574</v>
      </c>
      <c r="D25" s="74"/>
      <c r="E25" s="74" t="s">
        <v>507</v>
      </c>
      <c r="F25" s="75">
        <v>43831</v>
      </c>
      <c r="G25" s="75">
        <v>44196</v>
      </c>
      <c r="H25" s="237">
        <v>1800</v>
      </c>
      <c r="I25" s="237">
        <v>2800</v>
      </c>
      <c r="J25" s="292">
        <f t="shared" si="0"/>
        <v>1000</v>
      </c>
      <c r="K25" s="76">
        <f t="shared" si="1"/>
        <v>55.555555555555557</v>
      </c>
      <c r="L25" s="76">
        <f t="shared" si="2"/>
        <v>26.683388256640828</v>
      </c>
      <c r="M25" s="76" t="s">
        <v>346</v>
      </c>
      <c r="N25" s="103"/>
      <c r="O25" s="107">
        <f t="shared" si="3"/>
        <v>0</v>
      </c>
      <c r="P25" s="74" t="s">
        <v>499</v>
      </c>
      <c r="Z25" s="161"/>
      <c r="AA25" s="162"/>
      <c r="AB25" s="156"/>
      <c r="AC25" s="156"/>
      <c r="AD25" s="156"/>
      <c r="AE25" s="156"/>
      <c r="AF25" s="156"/>
      <c r="AG25" s="161"/>
      <c r="AH25" s="161"/>
      <c r="AI25" s="161"/>
      <c r="AJ25" s="161"/>
    </row>
    <row r="26" spans="1:36" ht="55.5" hidden="1" customHeight="1" x14ac:dyDescent="0.4">
      <c r="A26" s="84"/>
      <c r="B26" s="74"/>
      <c r="C26" s="74"/>
      <c r="D26" s="74"/>
      <c r="E26" s="74"/>
      <c r="F26" s="75"/>
      <c r="G26" s="75"/>
      <c r="H26" s="237"/>
      <c r="I26" s="237"/>
      <c r="J26" s="292">
        <f t="shared" si="0"/>
        <v>0</v>
      </c>
      <c r="K26" s="76">
        <f t="shared" si="1"/>
        <v>0</v>
      </c>
      <c r="L26" s="76">
        <f t="shared" si="2"/>
        <v>0</v>
      </c>
      <c r="M26" s="76"/>
      <c r="N26" s="103"/>
      <c r="O26" s="107">
        <f t="shared" si="3"/>
        <v>0</v>
      </c>
      <c r="P26" s="74"/>
      <c r="Z26" s="161"/>
      <c r="AA26" s="162"/>
      <c r="AB26" s="156"/>
      <c r="AC26" s="156"/>
      <c r="AD26" s="156"/>
      <c r="AE26" s="156"/>
      <c r="AF26" s="156"/>
      <c r="AG26" s="161"/>
      <c r="AH26" s="161"/>
      <c r="AI26" s="161"/>
      <c r="AJ26" s="161"/>
    </row>
    <row r="27" spans="1:36" ht="55.5" hidden="1" customHeight="1" x14ac:dyDescent="0.25">
      <c r="A27" s="84"/>
      <c r="B27" s="74"/>
      <c r="C27" s="74"/>
      <c r="D27" s="74"/>
      <c r="E27" s="74"/>
      <c r="F27" s="75"/>
      <c r="G27" s="75"/>
      <c r="H27" s="237"/>
      <c r="I27" s="237"/>
      <c r="J27" s="292">
        <f t="shared" si="0"/>
        <v>0</v>
      </c>
      <c r="K27" s="76">
        <f t="shared" si="1"/>
        <v>0</v>
      </c>
      <c r="L27" s="76">
        <f t="shared" si="2"/>
        <v>0</v>
      </c>
      <c r="M27" s="76"/>
      <c r="N27" s="103"/>
      <c r="O27" s="107">
        <f t="shared" si="3"/>
        <v>0</v>
      </c>
      <c r="P27" s="74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</row>
    <row r="28" spans="1:36" ht="55.5" hidden="1" customHeight="1" x14ac:dyDescent="0.25">
      <c r="A28" s="84"/>
      <c r="B28" s="74"/>
      <c r="C28" s="74"/>
      <c r="D28" s="74"/>
      <c r="E28" s="74"/>
      <c r="F28" s="75"/>
      <c r="G28" s="75"/>
      <c r="H28" s="237"/>
      <c r="I28" s="237"/>
      <c r="J28" s="292">
        <f t="shared" si="0"/>
        <v>0</v>
      </c>
      <c r="K28" s="76">
        <f t="shared" si="1"/>
        <v>0</v>
      </c>
      <c r="L28" s="76">
        <f t="shared" si="2"/>
        <v>0</v>
      </c>
      <c r="M28" s="76"/>
      <c r="N28" s="103"/>
      <c r="O28" s="107">
        <f t="shared" si="3"/>
        <v>0</v>
      </c>
      <c r="P28" s="74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</row>
    <row r="29" spans="1:36" ht="55.5" hidden="1" customHeight="1" x14ac:dyDescent="0.25">
      <c r="A29" s="84"/>
      <c r="B29" s="74"/>
      <c r="C29" s="74"/>
      <c r="D29" s="74"/>
      <c r="E29" s="74"/>
      <c r="F29" s="75"/>
      <c r="G29" s="75"/>
      <c r="H29" s="237"/>
      <c r="I29" s="237"/>
      <c r="J29" s="292">
        <f t="shared" si="0"/>
        <v>0</v>
      </c>
      <c r="K29" s="76">
        <f t="shared" si="1"/>
        <v>0</v>
      </c>
      <c r="L29" s="76">
        <f t="shared" si="2"/>
        <v>0</v>
      </c>
      <c r="M29" s="76"/>
      <c r="N29" s="103"/>
      <c r="O29" s="107">
        <f t="shared" si="3"/>
        <v>0</v>
      </c>
      <c r="P29" s="74"/>
      <c r="AA29" s="164"/>
    </row>
    <row r="30" spans="1:36" ht="55.5" hidden="1" customHeight="1" x14ac:dyDescent="0.25">
      <c r="A30" s="84"/>
      <c r="B30" s="74"/>
      <c r="C30" s="74"/>
      <c r="D30" s="74"/>
      <c r="E30" s="74"/>
      <c r="F30" s="75"/>
      <c r="G30" s="75"/>
      <c r="H30" s="237"/>
      <c r="I30" s="237"/>
      <c r="J30" s="292">
        <f t="shared" si="0"/>
        <v>0</v>
      </c>
      <c r="K30" s="76">
        <f t="shared" si="1"/>
        <v>0</v>
      </c>
      <c r="L30" s="76">
        <f t="shared" si="2"/>
        <v>0</v>
      </c>
      <c r="M30" s="76"/>
      <c r="N30" s="103"/>
      <c r="O30" s="107">
        <f t="shared" si="3"/>
        <v>0</v>
      </c>
      <c r="P30" s="74"/>
    </row>
    <row r="31" spans="1:36" ht="55.5" hidden="1" customHeight="1" x14ac:dyDescent="0.25">
      <c r="A31" s="84"/>
      <c r="B31" s="74"/>
      <c r="C31" s="74"/>
      <c r="D31" s="74"/>
      <c r="E31" s="74"/>
      <c r="F31" s="75"/>
      <c r="G31" s="75"/>
      <c r="H31" s="237"/>
      <c r="I31" s="237"/>
      <c r="J31" s="292">
        <f t="shared" si="0"/>
        <v>0</v>
      </c>
      <c r="K31" s="76">
        <f t="shared" si="1"/>
        <v>0</v>
      </c>
      <c r="L31" s="76">
        <f t="shared" si="2"/>
        <v>0</v>
      </c>
      <c r="M31" s="76"/>
      <c r="N31" s="103"/>
      <c r="O31" s="107">
        <f t="shared" si="3"/>
        <v>0</v>
      </c>
      <c r="P31" s="74"/>
    </row>
    <row r="32" spans="1:36" s="2" customFormat="1" ht="24.75" customHeight="1" x14ac:dyDescent="0.25">
      <c r="A32" s="531" t="s">
        <v>0</v>
      </c>
      <c r="B32" s="532"/>
      <c r="C32" s="532"/>
      <c r="D32" s="532"/>
      <c r="E32" s="532"/>
      <c r="F32" s="532"/>
      <c r="G32" s="533"/>
      <c r="H32" s="293">
        <f>SUM(H21:H31)</f>
        <v>3501</v>
      </c>
      <c r="I32" s="293">
        <f>SUM(I21:I31)</f>
        <v>10493.42</v>
      </c>
      <c r="J32" s="293">
        <f>I32-H32</f>
        <v>6992.42</v>
      </c>
      <c r="K32" s="106">
        <f>IFERROR(J32/H32*100,0)</f>
        <v>199.72636389602971</v>
      </c>
      <c r="L32" s="106">
        <f>IFERROR(I32/$I$32*100,0)</f>
        <v>100</v>
      </c>
      <c r="M32" s="106"/>
      <c r="N32" s="289">
        <f>SUM(N21:N31)</f>
        <v>0</v>
      </c>
      <c r="O32" s="106">
        <f>IFERROR(N32/I32*100,)</f>
        <v>0</v>
      </c>
      <c r="P32" s="106"/>
    </row>
    <row r="33" spans="1:20" ht="33.75" customHeight="1" x14ac:dyDescent="0.25">
      <c r="A33" s="3"/>
      <c r="B33" s="3"/>
      <c r="C33" s="3"/>
      <c r="D33" s="3"/>
      <c r="E33" s="3"/>
      <c r="F33" s="3"/>
      <c r="G33" s="3"/>
      <c r="H33" s="3">
        <f>'Quadro Geral'!I11</f>
        <v>3501</v>
      </c>
      <c r="I33" s="3"/>
      <c r="J33" s="3"/>
      <c r="K33" s="3"/>
      <c r="L33" s="3"/>
      <c r="M33" s="3"/>
      <c r="N33" s="3"/>
      <c r="O33" s="3"/>
      <c r="P33" s="3"/>
    </row>
    <row r="34" spans="1:20" x14ac:dyDescent="0.25">
      <c r="A34" s="534" t="s">
        <v>77</v>
      </c>
      <c r="B34" s="534"/>
      <c r="C34" s="534"/>
      <c r="D34" s="534"/>
      <c r="E34" s="534"/>
      <c r="F34" s="534"/>
      <c r="G34" s="534"/>
      <c r="H34" s="534"/>
      <c r="I34" s="534"/>
      <c r="J34" s="534"/>
      <c r="K34" s="534"/>
      <c r="L34" s="534"/>
      <c r="M34" s="534"/>
      <c r="N34" s="534"/>
      <c r="O34" s="534"/>
      <c r="P34" s="534"/>
    </row>
    <row r="35" spans="1:20" ht="36" customHeight="1" x14ac:dyDescent="0.25">
      <c r="A35" s="535" t="s">
        <v>379</v>
      </c>
      <c r="B35" s="536"/>
      <c r="C35" s="536"/>
      <c r="D35" s="536"/>
      <c r="E35" s="536"/>
      <c r="F35" s="536"/>
      <c r="G35" s="536"/>
      <c r="H35" s="536"/>
      <c r="I35" s="536"/>
      <c r="J35" s="536"/>
      <c r="K35" s="536"/>
      <c r="L35" s="536"/>
      <c r="M35" s="536"/>
      <c r="N35" s="536"/>
      <c r="O35" s="536"/>
      <c r="P35" s="537"/>
    </row>
    <row r="36" spans="1:20" ht="95.25" customHeight="1" x14ac:dyDescent="0.25">
      <c r="A36" s="540"/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2"/>
    </row>
    <row r="37" spans="1:20" ht="15" hidden="1" customHeight="1" x14ac:dyDescent="0.25">
      <c r="A37" s="543" t="s">
        <v>8</v>
      </c>
      <c r="B37" s="543"/>
      <c r="C37" s="543"/>
      <c r="D37" s="543"/>
      <c r="E37" s="543"/>
      <c r="F37" s="543"/>
      <c r="G37" s="290"/>
      <c r="H37" s="290"/>
      <c r="I37" s="290"/>
      <c r="J37" s="290"/>
      <c r="K37" s="290"/>
      <c r="L37" s="290"/>
      <c r="M37" s="290"/>
      <c r="N37" s="290"/>
      <c r="O37" s="290"/>
      <c r="P37" s="290"/>
    </row>
    <row r="38" spans="1:20" ht="15" hidden="1" customHeight="1" x14ac:dyDescent="0.25">
      <c r="A38" s="291" t="s">
        <v>12</v>
      </c>
      <c r="B38" s="544" t="s">
        <v>16</v>
      </c>
      <c r="C38" s="544"/>
      <c r="D38" s="544"/>
      <c r="E38" s="544"/>
      <c r="F38" s="544"/>
      <c r="N38" s="156"/>
      <c r="O38" s="156"/>
      <c r="P38" s="156"/>
    </row>
    <row r="39" spans="1:20" ht="15" hidden="1" customHeight="1" x14ac:dyDescent="0.25">
      <c r="A39" s="291" t="s">
        <v>13</v>
      </c>
      <c r="B39" s="544" t="s">
        <v>9</v>
      </c>
      <c r="C39" s="544"/>
      <c r="D39" s="544"/>
      <c r="E39" s="544"/>
      <c r="F39" s="544"/>
      <c r="N39" s="156"/>
      <c r="O39" s="156"/>
      <c r="P39" s="156"/>
    </row>
    <row r="40" spans="1:20" ht="15" hidden="1" customHeight="1" x14ac:dyDescent="0.25">
      <c r="A40" s="291" t="s">
        <v>14</v>
      </c>
      <c r="B40" s="544" t="s">
        <v>10</v>
      </c>
      <c r="C40" s="544"/>
      <c r="D40" s="544"/>
      <c r="E40" s="544"/>
      <c r="F40" s="544"/>
      <c r="N40" s="156"/>
      <c r="O40" s="156"/>
      <c r="P40" s="156"/>
    </row>
    <row r="41" spans="1:20" ht="15" hidden="1" customHeight="1" x14ac:dyDescent="0.25">
      <c r="A41" s="291" t="s">
        <v>15</v>
      </c>
      <c r="B41" s="544" t="s">
        <v>11</v>
      </c>
      <c r="C41" s="544"/>
      <c r="D41" s="544"/>
      <c r="E41" s="544"/>
      <c r="F41" s="544"/>
      <c r="N41" s="156"/>
      <c r="O41" s="156"/>
      <c r="P41" s="156"/>
    </row>
    <row r="42" spans="1:20" ht="35.25" customHeight="1" x14ac:dyDescent="0.25"/>
    <row r="43" spans="1:20" ht="60" customHeight="1" x14ac:dyDescent="0.25">
      <c r="A43" s="535" t="s">
        <v>385</v>
      </c>
      <c r="B43" s="536"/>
      <c r="C43" s="536"/>
      <c r="D43" s="536"/>
      <c r="E43" s="536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7"/>
      <c r="Q43" s="133"/>
      <c r="R43" s="133"/>
      <c r="S43" s="133"/>
      <c r="T43" s="187"/>
    </row>
    <row r="44" spans="1:20" ht="26.25" customHeight="1" x14ac:dyDescent="0.25">
      <c r="A44" s="538" t="s">
        <v>389</v>
      </c>
      <c r="B44" s="538"/>
      <c r="C44" s="538"/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</row>
    <row r="45" spans="1:20" ht="26.25" customHeight="1" x14ac:dyDescent="0.25">
      <c r="A45" s="539"/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</row>
    <row r="46" spans="1:20" ht="26.25" customHeight="1" x14ac:dyDescent="0.25">
      <c r="A46" s="539"/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</row>
    <row r="47" spans="1:20" ht="26.25" customHeight="1" x14ac:dyDescent="0.2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</row>
    <row r="48" spans="1:20" ht="26.25" customHeight="1" x14ac:dyDescent="0.25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</row>
    <row r="49" spans="1:16" ht="26.25" customHeight="1" x14ac:dyDescent="0.25">
      <c r="A49" s="539"/>
      <c r="B49" s="539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</row>
    <row r="50" spans="1:16" ht="26.25" customHeight="1" x14ac:dyDescent="0.25">
      <c r="A50" s="539"/>
      <c r="B50" s="539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</row>
    <row r="51" spans="1:16" ht="26.25" customHeight="1" x14ac:dyDescent="0.25">
      <c r="A51" s="539"/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</row>
    <row r="52" spans="1:16" ht="26.25" customHeight="1" x14ac:dyDescent="0.25">
      <c r="A52" s="539"/>
      <c r="B52" s="539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</row>
    <row r="53" spans="1:16" ht="26.25" customHeight="1" x14ac:dyDescent="0.25">
      <c r="A53" s="539"/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</row>
    <row r="54" spans="1:16" ht="26.25" customHeight="1" x14ac:dyDescent="0.25">
      <c r="A54" s="539"/>
      <c r="B54" s="539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</row>
    <row r="55" spans="1:16" ht="26.25" customHeight="1" x14ac:dyDescent="0.25">
      <c r="A55" s="539"/>
      <c r="B55" s="539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</row>
    <row r="56" spans="1:16" ht="26.25" customHeight="1" x14ac:dyDescent="0.25">
      <c r="A56" s="539"/>
      <c r="B56" s="539"/>
      <c r="C56" s="539"/>
      <c r="D56" s="539"/>
      <c r="E56" s="539"/>
      <c r="F56" s="539"/>
      <c r="G56" s="539"/>
      <c r="H56" s="539"/>
      <c r="I56" s="539"/>
      <c r="J56" s="539"/>
      <c r="K56" s="539"/>
      <c r="L56" s="539"/>
      <c r="M56" s="539"/>
      <c r="N56" s="539"/>
      <c r="O56" s="539"/>
      <c r="P56" s="539"/>
    </row>
    <row r="57" spans="1:16" ht="26.25" customHeight="1" x14ac:dyDescent="0.25">
      <c r="A57" s="539"/>
      <c r="B57" s="539"/>
      <c r="C57" s="539"/>
      <c r="D57" s="539"/>
      <c r="E57" s="539"/>
      <c r="F57" s="539"/>
      <c r="G57" s="539"/>
      <c r="H57" s="539"/>
      <c r="I57" s="539"/>
      <c r="J57" s="539"/>
      <c r="K57" s="539"/>
      <c r="L57" s="539"/>
      <c r="M57" s="539"/>
      <c r="N57" s="539"/>
      <c r="O57" s="539"/>
      <c r="P57" s="539"/>
    </row>
    <row r="58" spans="1:16" ht="26.25" customHeight="1" x14ac:dyDescent="0.25">
      <c r="A58" s="539"/>
      <c r="B58" s="539"/>
      <c r="C58" s="539"/>
      <c r="D58" s="539"/>
      <c r="E58" s="539"/>
      <c r="F58" s="539"/>
      <c r="G58" s="539"/>
      <c r="H58" s="539"/>
      <c r="I58" s="539"/>
      <c r="J58" s="539"/>
      <c r="K58" s="539"/>
      <c r="L58" s="539"/>
      <c r="M58" s="539"/>
      <c r="N58" s="539"/>
      <c r="O58" s="539"/>
      <c r="P58" s="539"/>
    </row>
    <row r="59" spans="1:16" ht="26.25" customHeight="1" x14ac:dyDescent="0.25">
      <c r="A59" s="539"/>
      <c r="B59" s="539"/>
      <c r="C59" s="539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</row>
    <row r="60" spans="1:16" ht="26.25" customHeight="1" x14ac:dyDescent="0.25">
      <c r="A60" s="539"/>
      <c r="B60" s="539"/>
      <c r="C60" s="539"/>
      <c r="D60" s="539"/>
      <c r="E60" s="539"/>
      <c r="F60" s="539"/>
      <c r="G60" s="539"/>
      <c r="H60" s="539"/>
      <c r="I60" s="539"/>
      <c r="J60" s="539"/>
      <c r="K60" s="539"/>
      <c r="L60" s="539"/>
      <c r="M60" s="539"/>
      <c r="N60" s="539"/>
      <c r="O60" s="539"/>
      <c r="P60" s="539"/>
    </row>
    <row r="61" spans="1:16" ht="26.25" customHeight="1" x14ac:dyDescent="0.25">
      <c r="A61" s="539"/>
      <c r="B61" s="539"/>
      <c r="C61" s="539"/>
      <c r="D61" s="539"/>
      <c r="E61" s="539"/>
      <c r="F61" s="539"/>
      <c r="G61" s="539"/>
      <c r="H61" s="539"/>
      <c r="I61" s="539"/>
      <c r="J61" s="539"/>
      <c r="K61" s="539"/>
      <c r="L61" s="539"/>
      <c r="M61" s="539"/>
      <c r="N61" s="539"/>
      <c r="O61" s="539"/>
      <c r="P61" s="539"/>
    </row>
    <row r="62" spans="1:16" ht="26.25" customHeight="1" x14ac:dyDescent="0.25">
      <c r="A62" s="539"/>
      <c r="B62" s="539"/>
      <c r="C62" s="539"/>
      <c r="D62" s="539"/>
      <c r="E62" s="539"/>
      <c r="F62" s="539"/>
      <c r="G62" s="539"/>
      <c r="H62" s="539"/>
      <c r="I62" s="539"/>
      <c r="J62" s="539"/>
      <c r="K62" s="539"/>
      <c r="L62" s="539"/>
      <c r="M62" s="539"/>
      <c r="N62" s="539"/>
      <c r="O62" s="539"/>
      <c r="P62" s="539"/>
    </row>
    <row r="63" spans="1:16" ht="26.25" customHeight="1" x14ac:dyDescent="0.25">
      <c r="A63" s="539"/>
      <c r="B63" s="539"/>
      <c r="C63" s="539"/>
      <c r="D63" s="539"/>
      <c r="E63" s="539"/>
      <c r="F63" s="539"/>
      <c r="G63" s="539"/>
      <c r="H63" s="539"/>
      <c r="I63" s="539"/>
      <c r="J63" s="539"/>
      <c r="K63" s="539"/>
      <c r="L63" s="539"/>
      <c r="M63" s="539"/>
      <c r="N63" s="539"/>
      <c r="O63" s="539"/>
      <c r="P63" s="539"/>
    </row>
    <row r="64" spans="1:16" ht="26.25" customHeight="1" x14ac:dyDescent="0.25">
      <c r="A64" s="539"/>
      <c r="B64" s="539"/>
      <c r="C64" s="539"/>
      <c r="D64" s="539"/>
      <c r="E64" s="539"/>
      <c r="F64" s="539"/>
      <c r="G64" s="539"/>
      <c r="H64" s="539"/>
      <c r="I64" s="539"/>
      <c r="J64" s="539"/>
      <c r="K64" s="539"/>
      <c r="L64" s="539"/>
      <c r="M64" s="539"/>
      <c r="N64" s="539"/>
      <c r="O64" s="539"/>
      <c r="P64" s="539"/>
    </row>
    <row r="65" spans="1:16" ht="26.25" customHeight="1" x14ac:dyDescent="0.25">
      <c r="A65" s="539"/>
      <c r="B65" s="539"/>
      <c r="C65" s="539"/>
      <c r="D65" s="539"/>
      <c r="E65" s="539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</row>
    <row r="66" spans="1:16" ht="26.25" customHeight="1" x14ac:dyDescent="0.25">
      <c r="A66" s="539"/>
      <c r="B66" s="539"/>
      <c r="C66" s="539"/>
      <c r="D66" s="539"/>
      <c r="E66" s="539"/>
      <c r="F66" s="539"/>
      <c r="G66" s="539"/>
      <c r="H66" s="539"/>
      <c r="I66" s="539"/>
      <c r="J66" s="539"/>
      <c r="K66" s="539"/>
      <c r="L66" s="539"/>
      <c r="M66" s="539"/>
      <c r="N66" s="539"/>
      <c r="O66" s="539"/>
      <c r="P66" s="539"/>
    </row>
    <row r="67" spans="1:16" ht="26.25" customHeight="1" x14ac:dyDescent="0.25">
      <c r="A67" s="539"/>
      <c r="B67" s="539"/>
      <c r="C67" s="539"/>
      <c r="D67" s="539"/>
      <c r="E67" s="539"/>
      <c r="F67" s="539"/>
      <c r="G67" s="539"/>
      <c r="H67" s="539"/>
      <c r="I67" s="539"/>
      <c r="J67" s="539"/>
      <c r="K67" s="539"/>
      <c r="L67" s="539"/>
      <c r="M67" s="539"/>
      <c r="N67" s="539"/>
      <c r="O67" s="539"/>
      <c r="P67" s="539"/>
    </row>
    <row r="68" spans="1:16" ht="26.25" customHeight="1" x14ac:dyDescent="0.25">
      <c r="A68" s="539"/>
      <c r="B68" s="539"/>
      <c r="C68" s="539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</row>
    <row r="69" spans="1:16" ht="26.25" customHeight="1" x14ac:dyDescent="0.25">
      <c r="A69" s="539"/>
      <c r="B69" s="539"/>
      <c r="C69" s="539"/>
      <c r="D69" s="539"/>
      <c r="E69" s="539"/>
      <c r="F69" s="539"/>
      <c r="G69" s="539"/>
      <c r="H69" s="539"/>
      <c r="I69" s="539"/>
      <c r="J69" s="539"/>
      <c r="K69" s="539"/>
      <c r="L69" s="539"/>
      <c r="M69" s="539"/>
      <c r="N69" s="539"/>
      <c r="O69" s="539"/>
      <c r="P69" s="539"/>
    </row>
    <row r="70" spans="1:16" ht="26.25" customHeight="1" x14ac:dyDescent="0.25">
      <c r="A70" s="539"/>
      <c r="B70" s="539"/>
      <c r="C70" s="539"/>
      <c r="D70" s="539"/>
      <c r="E70" s="539"/>
      <c r="F70" s="539"/>
      <c r="G70" s="539"/>
      <c r="H70" s="539"/>
      <c r="I70" s="539"/>
      <c r="J70" s="539"/>
      <c r="K70" s="539"/>
      <c r="L70" s="539"/>
      <c r="M70" s="539"/>
      <c r="N70" s="539"/>
      <c r="O70" s="539"/>
      <c r="P70" s="539"/>
    </row>
    <row r="71" spans="1:16" ht="26.25" customHeight="1" x14ac:dyDescent="0.25">
      <c r="A71" s="539"/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</row>
    <row r="72" spans="1:16" ht="26.25" customHeight="1" x14ac:dyDescent="0.25">
      <c r="A72" s="539"/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ht="26.25" customHeight="1" x14ac:dyDescent="0.25">
      <c r="A73" s="539"/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39"/>
      <c r="N73" s="539"/>
      <c r="O73" s="539"/>
      <c r="P73" s="539"/>
    </row>
    <row r="74" spans="1:16" ht="26.25" customHeight="1" x14ac:dyDescent="0.25">
      <c r="A74" s="539"/>
      <c r="B74" s="539"/>
      <c r="C74" s="539"/>
      <c r="D74" s="539"/>
      <c r="E74" s="539"/>
      <c r="F74" s="539"/>
      <c r="G74" s="539"/>
      <c r="H74" s="539"/>
      <c r="I74" s="539"/>
      <c r="J74" s="539"/>
      <c r="K74" s="539"/>
      <c r="L74" s="539"/>
      <c r="M74" s="539"/>
      <c r="N74" s="539"/>
      <c r="O74" s="539"/>
      <c r="P74" s="539"/>
    </row>
    <row r="75" spans="1:16" ht="26.25" customHeight="1" x14ac:dyDescent="0.25">
      <c r="A75" s="539"/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</row>
    <row r="76" spans="1:16" ht="26.25" customHeight="1" x14ac:dyDescent="0.25">
      <c r="A76" s="539"/>
      <c r="B76" s="539"/>
      <c r="C76" s="539"/>
      <c r="D76" s="539"/>
      <c r="E76" s="539"/>
      <c r="F76" s="539"/>
      <c r="G76" s="539"/>
      <c r="H76" s="539"/>
      <c r="I76" s="539"/>
      <c r="J76" s="539"/>
      <c r="K76" s="539"/>
      <c r="L76" s="539"/>
      <c r="M76" s="539"/>
      <c r="N76" s="539"/>
      <c r="O76" s="539"/>
      <c r="P76" s="539"/>
    </row>
    <row r="77" spans="1:16" ht="26.25" customHeight="1" x14ac:dyDescent="0.25">
      <c r="A77" s="539"/>
      <c r="B77" s="539"/>
      <c r="C77" s="539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</row>
    <row r="78" spans="1:16" ht="26.25" customHeight="1" x14ac:dyDescent="0.25">
      <c r="A78" s="539"/>
      <c r="B78" s="539"/>
      <c r="C78" s="539"/>
      <c r="D78" s="539"/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ht="1.5" customHeight="1" x14ac:dyDescent="0.25">
      <c r="A79" s="539"/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</row>
    <row r="80" spans="1:16" ht="26.25" hidden="1" customHeight="1" x14ac:dyDescent="0.25">
      <c r="A80" s="539"/>
      <c r="B80" s="539"/>
      <c r="C80" s="539"/>
      <c r="D80" s="539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</row>
    <row r="81" spans="1:16" ht="26.25" hidden="1" customHeight="1" x14ac:dyDescent="0.25">
      <c r="A81" s="539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</row>
    <row r="82" spans="1:16" ht="26.25" hidden="1" customHeight="1" x14ac:dyDescent="0.25">
      <c r="A82" s="539"/>
      <c r="B82" s="539"/>
      <c r="C82" s="539"/>
      <c r="D82" s="539"/>
      <c r="E82" s="539"/>
      <c r="F82" s="539"/>
      <c r="G82" s="539"/>
      <c r="H82" s="539"/>
      <c r="I82" s="539"/>
      <c r="J82" s="539"/>
      <c r="K82" s="539"/>
      <c r="L82" s="539"/>
      <c r="M82" s="539"/>
      <c r="N82" s="539"/>
      <c r="O82" s="539"/>
      <c r="P82" s="539"/>
    </row>
    <row r="83" spans="1:16" ht="26.25" hidden="1" customHeight="1" x14ac:dyDescent="0.25">
      <c r="A83" s="539"/>
      <c r="B83" s="539"/>
      <c r="C83" s="539"/>
      <c r="D83" s="539"/>
      <c r="E83" s="539"/>
      <c r="F83" s="539"/>
      <c r="G83" s="539"/>
      <c r="H83" s="539"/>
      <c r="I83" s="539"/>
      <c r="J83" s="539"/>
      <c r="K83" s="539"/>
      <c r="L83" s="539"/>
      <c r="M83" s="539"/>
      <c r="N83" s="539"/>
      <c r="O83" s="539"/>
      <c r="P83" s="539"/>
    </row>
    <row r="84" spans="1:16" ht="26.25" hidden="1" customHeight="1" x14ac:dyDescent="0.25">
      <c r="A84" s="539"/>
      <c r="B84" s="539"/>
      <c r="C84" s="539"/>
      <c r="D84" s="539"/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</row>
    <row r="85" spans="1:16" ht="26.25" hidden="1" customHeight="1" x14ac:dyDescent="0.25">
      <c r="A85" s="539"/>
      <c r="B85" s="539"/>
      <c r="C85" s="539"/>
      <c r="D85" s="539"/>
      <c r="E85" s="539"/>
      <c r="F85" s="539"/>
      <c r="G85" s="539"/>
      <c r="H85" s="539"/>
      <c r="I85" s="539"/>
      <c r="J85" s="539"/>
      <c r="K85" s="539"/>
      <c r="L85" s="539"/>
      <c r="M85" s="539"/>
      <c r="N85" s="539"/>
      <c r="O85" s="539"/>
      <c r="P85" s="539"/>
    </row>
    <row r="86" spans="1:16" ht="26.25" hidden="1" customHeight="1" x14ac:dyDescent="0.25">
      <c r="A86" s="539"/>
      <c r="B86" s="539"/>
      <c r="C86" s="539"/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39"/>
      <c r="O86" s="539"/>
      <c r="P86" s="539"/>
    </row>
    <row r="87" spans="1:16" ht="26.25" hidden="1" customHeight="1" x14ac:dyDescent="0.25">
      <c r="A87" s="539"/>
      <c r="B87" s="539"/>
      <c r="C87" s="539"/>
      <c r="D87" s="539"/>
      <c r="E87" s="539"/>
      <c r="F87" s="539"/>
      <c r="G87" s="539"/>
      <c r="H87" s="539"/>
      <c r="I87" s="539"/>
      <c r="J87" s="539"/>
      <c r="K87" s="539"/>
      <c r="L87" s="539"/>
      <c r="M87" s="539"/>
      <c r="N87" s="539"/>
      <c r="O87" s="539"/>
      <c r="P87" s="539"/>
    </row>
    <row r="88" spans="1:16" ht="26.25" hidden="1" customHeight="1" x14ac:dyDescent="0.25">
      <c r="A88" s="539"/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</row>
    <row r="89" spans="1:16" ht="26.25" hidden="1" customHeight="1" x14ac:dyDescent="0.25">
      <c r="A89" s="539"/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L89" s="539"/>
      <c r="M89" s="539"/>
      <c r="N89" s="539"/>
      <c r="O89" s="539"/>
      <c r="P89" s="539"/>
    </row>
    <row r="90" spans="1:16" ht="26.25" hidden="1" customHeight="1" x14ac:dyDescent="0.25">
      <c r="A90" s="539"/>
      <c r="B90" s="539"/>
      <c r="C90" s="539"/>
      <c r="D90" s="539"/>
      <c r="E90" s="539"/>
      <c r="F90" s="539"/>
      <c r="G90" s="539"/>
      <c r="H90" s="539"/>
      <c r="I90" s="539"/>
      <c r="J90" s="539"/>
      <c r="K90" s="539"/>
      <c r="L90" s="539"/>
      <c r="M90" s="539"/>
      <c r="N90" s="539"/>
      <c r="O90" s="539"/>
      <c r="P90" s="539"/>
    </row>
    <row r="91" spans="1:16" ht="26.25" hidden="1" customHeight="1" x14ac:dyDescent="0.25">
      <c r="A91" s="539"/>
      <c r="B91" s="539"/>
      <c r="C91" s="539"/>
      <c r="D91" s="539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539"/>
    </row>
    <row r="92" spans="1:16" ht="225.75" customHeight="1" x14ac:dyDescent="0.25">
      <c r="A92" s="539"/>
      <c r="B92" s="539"/>
      <c r="C92" s="539"/>
      <c r="D92" s="539"/>
      <c r="E92" s="539"/>
      <c r="F92" s="539"/>
      <c r="G92" s="539"/>
      <c r="H92" s="539"/>
      <c r="I92" s="539"/>
      <c r="J92" s="539"/>
      <c r="K92" s="539"/>
      <c r="L92" s="539"/>
      <c r="M92" s="539"/>
      <c r="N92" s="539"/>
      <c r="O92" s="539"/>
      <c r="P92" s="539"/>
    </row>
  </sheetData>
  <sheetProtection formatCells="0" formatRows="0" insertRows="0" deleteRows="0"/>
  <mergeCells count="52">
    <mergeCell ref="A44:P92"/>
    <mergeCell ref="A36:P36"/>
    <mergeCell ref="A37:F37"/>
    <mergeCell ref="B38:F38"/>
    <mergeCell ref="B39:F39"/>
    <mergeCell ref="B40:F40"/>
    <mergeCell ref="B41:F41"/>
    <mergeCell ref="O19:O20"/>
    <mergeCell ref="Q21:W21"/>
    <mergeCell ref="A32:G32"/>
    <mergeCell ref="A34:P34"/>
    <mergeCell ref="A43:P43"/>
    <mergeCell ref="A35:P35"/>
    <mergeCell ref="H19:H20"/>
    <mergeCell ref="I19:I20"/>
    <mergeCell ref="J19:J20"/>
    <mergeCell ref="K19:K20"/>
    <mergeCell ref="N19:N20"/>
    <mergeCell ref="A16:F16"/>
    <mergeCell ref="G16:P16"/>
    <mergeCell ref="A17:P17"/>
    <mergeCell ref="A18:A20"/>
    <mergeCell ref="B18:E18"/>
    <mergeCell ref="F18:G18"/>
    <mergeCell ref="H18:I18"/>
    <mergeCell ref="J18:K18"/>
    <mergeCell ref="L18:L20"/>
    <mergeCell ref="M18:M20"/>
    <mergeCell ref="N18:O18"/>
    <mergeCell ref="P18:P20"/>
    <mergeCell ref="B19:D19"/>
    <mergeCell ref="E19:E20"/>
    <mergeCell ref="F19:F20"/>
    <mergeCell ref="G19:G20"/>
    <mergeCell ref="A13:F13"/>
    <mergeCell ref="G13:P13"/>
    <mergeCell ref="A14:F14"/>
    <mergeCell ref="G14:P14"/>
    <mergeCell ref="A15:F15"/>
    <mergeCell ref="G15:P15"/>
    <mergeCell ref="A10:F10"/>
    <mergeCell ref="G10:P10"/>
    <mergeCell ref="A11:F11"/>
    <mergeCell ref="G11:P11"/>
    <mergeCell ref="A12:F12"/>
    <mergeCell ref="G12:P12"/>
    <mergeCell ref="A6:P6"/>
    <mergeCell ref="A7:P7"/>
    <mergeCell ref="A8:F8"/>
    <mergeCell ref="G8:P8"/>
    <mergeCell ref="A9:F9"/>
    <mergeCell ref="G9:P9"/>
  </mergeCells>
  <dataValidations count="1">
    <dataValidation type="list" allowBlank="1" showInputMessage="1" showErrorMessage="1" sqref="G10:P10">
      <formula1>$W$10:$W$12</formula1>
    </dataValidation>
  </dataValidations>
  <pageMargins left="0.511811024" right="0.511811024" top="0.78740157499999996" bottom="0.78740157499999996" header="0.31496062000000002" footer="0.31496062000000002"/>
  <pageSetup paperSize="9" scale="6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Resumo!$F$1:$F$12</xm:f>
          </x14:formula1>
          <xm:sqref>M21:M31</xm:sqref>
        </x14:dataValidation>
        <x14:dataValidation type="list" allowBlank="1" showInputMessage="1" showErrorMessage="1">
          <x14:formula1>
            <xm:f>Resumo!$N$1:$N$21</xm:f>
          </x14:formula1>
          <xm:sqref>D21</xm:sqref>
        </x14:dataValidation>
        <x14:dataValidation type="list" allowBlank="1" showInputMessage="1" showErrorMessage="1">
          <x14:formula1>
            <xm:f>'AÇÕES ESTRATÉGICAS - DESCRIÇÃO '!$C$2:$C$21</xm:f>
          </x14:formula1>
          <xm:sqref>D22:D31</xm:sqref>
        </x14:dataValidation>
        <x14:dataValidation type="list" allowBlank="1" showInputMessage="1" showErrorMessage="1">
          <x14:formula1>
            <xm:f>Resumo!$B$1:$B$18</xm:f>
          </x14:formula1>
          <xm:sqref>G15:P15</xm:sqref>
        </x14:dataValidation>
        <x14:dataValidation type="list" allowBlank="1" showInputMessage="1" showErrorMessage="1">
          <x14:formula1>
            <xm:f>Resumo!$Q$1:$Q$16</xm:f>
          </x14:formula1>
          <xm:sqref>G14:P14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3</vt:i4>
      </vt:variant>
    </vt:vector>
  </HeadingPairs>
  <TitlesOfParts>
    <vt:vector size="31" baseType="lpstr">
      <vt:lpstr>Orientações Iniciais</vt:lpstr>
      <vt:lpstr>Mapa Estratégico e ODS</vt:lpstr>
      <vt:lpstr>Indicadores e Metas</vt:lpstr>
      <vt:lpstr>Quadro Geral</vt:lpstr>
      <vt:lpstr>Anexo_1.1_Limites Estratégicos</vt:lpstr>
      <vt:lpstr>Anexo_1.2_Usos e Fontes</vt:lpstr>
      <vt:lpstr>Anexo_1.3_ Elemento de Despesas</vt:lpstr>
      <vt:lpstr>Anexo 1.4-Presidência</vt:lpstr>
      <vt:lpstr>Anexo 1.4-CPAFi</vt:lpstr>
      <vt:lpstr>Anexo 1.4-CEDEP</vt:lpstr>
      <vt:lpstr>Anexo 1.4-CEF</vt:lpstr>
      <vt:lpstr>Anexo 1.4-CPPUA</vt:lpstr>
      <vt:lpstr>Anexo 1.4-Ger Tec Fisc</vt:lpstr>
      <vt:lpstr>Anexo 1.4-Ger Adm Finan</vt:lpstr>
      <vt:lpstr>Anexo 1.4-Atendimento</vt:lpstr>
      <vt:lpstr>Anexo 1.4-Comunicação</vt:lpstr>
      <vt:lpstr>Anexo 1.4-Capacitação</vt:lpstr>
      <vt:lpstr>Anexo 1.4-ATHIS</vt:lpstr>
      <vt:lpstr>Anexo 1.4-Fundo</vt:lpstr>
      <vt:lpstr>Anexo 1.4-CSC Fiscalização</vt:lpstr>
      <vt:lpstr>Anexo 1.4-CSC Atendimento</vt:lpstr>
      <vt:lpstr>Anexo 1.4-CSC Siscaf</vt:lpstr>
      <vt:lpstr>Anexo 1.4-Sede</vt:lpstr>
      <vt:lpstr>Anexo 1.4-Comissão Eleitoral</vt:lpstr>
      <vt:lpstr>Anexo 1.4-Reserva Contingência</vt:lpstr>
      <vt:lpstr>Resumo</vt:lpstr>
      <vt:lpstr>AÇÕES ESTRATÉGICAS - DESCRIÇÃO </vt:lpstr>
      <vt:lpstr>Plan1</vt:lpstr>
      <vt:lpstr>'Anexo_1.2_Usos e Fontes'!Area_de_impressao</vt:lpstr>
      <vt:lpstr>'Mapa Estratégico e ODS'!Area_de_impressao</vt:lpstr>
      <vt:lpstr>'Quadro Geral'!Area_de_impressao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Rios Costa</dc:creator>
  <cp:lastModifiedBy>Geral</cp:lastModifiedBy>
  <cp:lastPrinted>2019-11-11T16:07:46Z</cp:lastPrinted>
  <dcterms:created xsi:type="dcterms:W3CDTF">2013-07-30T15:20:59Z</dcterms:created>
  <dcterms:modified xsi:type="dcterms:W3CDTF">2020-07-21T20:44:47Z</dcterms:modified>
</cp:coreProperties>
</file>